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450" windowWidth="2040" windowHeight="1230" activeTab="2"/>
  </bookViews>
  <sheets>
    <sheet name=" 1_Liquidación" sheetId="2" r:id="rId1"/>
    <sheet name="2_Morosidad" sheetId="3" r:id="rId2"/>
    <sheet name="3_Detalle de origen y aplicació" sheetId="4" r:id="rId3"/>
    <sheet name="4_OyA Transferencias Gob Cent" sheetId="5" r:id="rId4"/>
    <sheet name="Ejemplo Detalle de origen y apl" sheetId="6" r:id="rId5"/>
    <sheet name="Ejemplo OyA Transferencias Gob " sheetId="7" r:id="rId6"/>
  </sheets>
  <definedNames>
    <definedName name="_xlnm._FilterDatabase" localSheetId="2" hidden="1">'3_Detalle de origen y aplicació'!$A$9:$O$254</definedName>
    <definedName name="Anexo_8_Endeudamiento">#REF!</definedName>
    <definedName name="LIQ">#REF!</definedName>
  </definedNames>
  <calcPr calcId="145621"/>
  <extLst>
    <ext uri="GoogleSheetsCustomDataVersion1">
      <go:sheetsCustomData xmlns:go="http://customooxmlschemas.google.com/" r:id="" roundtripDataSignature="AMtx7mgY505vQuKSYgV12v6fOe8kxn0DSQ=="/>
    </ext>
  </extLst>
</workbook>
</file>

<file path=xl/calcChain.xml><?xml version="1.0" encoding="utf-8"?>
<calcChain xmlns="http://schemas.openxmlformats.org/spreadsheetml/2006/main">
  <c r="I145" i="4" l="1"/>
  <c r="I166" i="4"/>
  <c r="I165" i="4"/>
  <c r="I156" i="4"/>
  <c r="I154" i="4"/>
  <c r="I150" i="4"/>
  <c r="I141" i="4"/>
  <c r="I140" i="4"/>
  <c r="I197" i="4"/>
  <c r="I94" i="4"/>
  <c r="I203" i="4"/>
  <c r="I202" i="4"/>
  <c r="I87" i="4"/>
  <c r="I86" i="4"/>
  <c r="I85" i="4"/>
  <c r="I222" i="4"/>
  <c r="I227" i="4"/>
  <c r="I219" i="4"/>
  <c r="I229" i="4"/>
  <c r="I224" i="4"/>
  <c r="I213" i="4"/>
  <c r="I105" i="4"/>
  <c r="I104" i="4"/>
  <c r="I245" i="4"/>
  <c r="I182" i="4"/>
  <c r="I183" i="4"/>
  <c r="I181" i="4" l="1"/>
  <c r="I124" i="4"/>
  <c r="I54" i="4"/>
  <c r="N19" i="5" l="1"/>
  <c r="G16" i="5"/>
  <c r="H16" i="5" s="1"/>
  <c r="M15" i="5"/>
  <c r="N15" i="5" s="1"/>
  <c r="L15" i="5"/>
  <c r="K15" i="5"/>
  <c r="M14" i="5"/>
  <c r="M13" i="5"/>
  <c r="M12" i="5"/>
  <c r="M11" i="5"/>
  <c r="M10" i="5"/>
  <c r="Q259" i="4" l="1"/>
  <c r="I207" i="4"/>
  <c r="N213" i="4" l="1"/>
  <c r="N242" i="4"/>
  <c r="N210" i="4"/>
  <c r="N206" i="4"/>
  <c r="N195" i="4"/>
  <c r="N241" i="4"/>
  <c r="N240" i="4"/>
  <c r="N212" i="4"/>
  <c r="N209" i="4"/>
  <c r="N201" i="4"/>
  <c r="N189" i="4"/>
  <c r="N186" i="4"/>
  <c r="N251" i="4"/>
  <c r="N250" i="4"/>
  <c r="N249" i="4"/>
  <c r="N248" i="4"/>
  <c r="N247" i="4"/>
  <c r="J243" i="4"/>
  <c r="J242" i="4"/>
  <c r="K240" i="4"/>
  <c r="K238" i="4"/>
  <c r="K237" i="4"/>
  <c r="K236" i="4"/>
  <c r="K235" i="4"/>
  <c r="K233" i="4"/>
  <c r="K232" i="4"/>
  <c r="K231" i="4"/>
  <c r="K230" i="4"/>
  <c r="K229" i="4"/>
  <c r="K228" i="4"/>
  <c r="K227" i="4"/>
  <c r="K226" i="4"/>
  <c r="K225" i="4"/>
  <c r="K224" i="4"/>
  <c r="K223" i="4"/>
  <c r="K222" i="4"/>
  <c r="K221" i="4"/>
  <c r="K220" i="4"/>
  <c r="K219" i="4"/>
  <c r="K218" i="4"/>
  <c r="K217" i="4"/>
  <c r="K216" i="4"/>
  <c r="K215" i="4"/>
  <c r="K214" i="4"/>
  <c r="K213" i="4"/>
  <c r="J207" i="4" l="1"/>
  <c r="J206" i="4"/>
  <c r="J203" i="4"/>
  <c r="J202" i="4"/>
  <c r="K196" i="4"/>
  <c r="K195" i="4"/>
  <c r="J183" i="4"/>
  <c r="J182" i="4"/>
  <c r="J179" i="4"/>
  <c r="J178" i="4"/>
  <c r="J177" i="4"/>
  <c r="J176" i="4"/>
  <c r="J175" i="4"/>
  <c r="J174" i="4"/>
  <c r="K141" i="4"/>
  <c r="K137" i="4"/>
  <c r="K136" i="4"/>
  <c r="J132" i="4"/>
  <c r="J131" i="4"/>
  <c r="J127" i="4"/>
  <c r="J126" i="4"/>
  <c r="J125" i="4"/>
  <c r="J124" i="4"/>
  <c r="J120" i="4"/>
  <c r="J119" i="4"/>
  <c r="J111" i="4"/>
  <c r="J110" i="4"/>
  <c r="J109" i="4"/>
  <c r="J107" i="4"/>
  <c r="J103" i="4"/>
  <c r="J106" i="4"/>
  <c r="J102" i="4"/>
  <c r="J100" i="4"/>
  <c r="J99" i="4"/>
  <c r="J98" i="4"/>
  <c r="J97" i="4"/>
  <c r="J95" i="4"/>
  <c r="J94" i="4"/>
  <c r="J93" i="4"/>
  <c r="J92" i="4"/>
  <c r="J90" i="4"/>
  <c r="J89" i="4"/>
  <c r="J87" i="4"/>
  <c r="J86" i="4"/>
  <c r="J85" i="4"/>
  <c r="J84" i="4"/>
  <c r="J82" i="4"/>
  <c r="J81" i="4"/>
  <c r="J80" i="4"/>
  <c r="J79" i="4"/>
  <c r="J77" i="4"/>
  <c r="J76" i="4"/>
  <c r="J75" i="4"/>
  <c r="J74" i="4"/>
  <c r="J72" i="4"/>
  <c r="J71" i="4"/>
  <c r="J70" i="4"/>
  <c r="J65" i="4"/>
  <c r="J63" i="4"/>
  <c r="J61" i="4"/>
  <c r="J60" i="4"/>
  <c r="J59" i="4"/>
  <c r="J57" i="4"/>
  <c r="J56" i="4"/>
  <c r="J55" i="4"/>
  <c r="J54" i="4"/>
  <c r="J47" i="4"/>
  <c r="J48" i="4" s="1"/>
  <c r="J43" i="4"/>
  <c r="J42" i="4"/>
  <c r="J41" i="4"/>
  <c r="J39" i="4"/>
  <c r="J38" i="4"/>
  <c r="J36" i="4"/>
  <c r="J33" i="4"/>
  <c r="J32" i="4"/>
  <c r="J31" i="4"/>
  <c r="J30" i="4"/>
  <c r="J29" i="4"/>
  <c r="J28" i="4"/>
  <c r="J27" i="4"/>
  <c r="J26" i="4"/>
  <c r="J25" i="4"/>
  <c r="J24" i="4"/>
  <c r="J23" i="4"/>
  <c r="J22" i="4"/>
  <c r="J21" i="4"/>
  <c r="J20" i="4"/>
  <c r="J15" i="4"/>
  <c r="J13" i="4"/>
  <c r="L246" i="4"/>
  <c r="L184" i="4"/>
  <c r="L173" i="4"/>
  <c r="K173" i="4"/>
  <c r="J173" i="4"/>
  <c r="L171" i="4"/>
  <c r="K171" i="4"/>
  <c r="J171" i="4"/>
  <c r="L169" i="4"/>
  <c r="L133" i="4"/>
  <c r="K133" i="4"/>
  <c r="L130" i="4"/>
  <c r="K130" i="4"/>
  <c r="J130" i="4"/>
  <c r="L128" i="4"/>
  <c r="K128" i="4"/>
  <c r="L123" i="4"/>
  <c r="K123" i="4"/>
  <c r="L118" i="4"/>
  <c r="K118" i="4"/>
  <c r="J118" i="4"/>
  <c r="L116" i="4"/>
  <c r="K116" i="4"/>
  <c r="L114" i="4"/>
  <c r="K114" i="4"/>
  <c r="J114" i="4"/>
  <c r="L112" i="4"/>
  <c r="K112" i="4"/>
  <c r="L108" i="4"/>
  <c r="L101" i="4"/>
  <c r="K101" i="4"/>
  <c r="L96" i="4"/>
  <c r="K96" i="4"/>
  <c r="L91" i="4"/>
  <c r="L83" i="4"/>
  <c r="K83" i="4"/>
  <c r="L78" i="4"/>
  <c r="K78" i="4"/>
  <c r="L73" i="4"/>
  <c r="K73" i="4"/>
  <c r="L69" i="4"/>
  <c r="K69" i="4"/>
  <c r="L66" i="4"/>
  <c r="K66" i="4"/>
  <c r="L62" i="4"/>
  <c r="K62" i="4"/>
  <c r="L58" i="4"/>
  <c r="K58" i="4"/>
  <c r="L52" i="4"/>
  <c r="K52" i="4"/>
  <c r="J52" i="4"/>
  <c r="L50" i="4"/>
  <c r="K50" i="4"/>
  <c r="J50" i="4"/>
  <c r="L48" i="4"/>
  <c r="K48" i="4"/>
  <c r="L46" i="4"/>
  <c r="L40" i="4"/>
  <c r="K40" i="4"/>
  <c r="L37" i="4"/>
  <c r="K37" i="4"/>
  <c r="K245" i="4"/>
  <c r="K239" i="4"/>
  <c r="K234" i="4"/>
  <c r="K211" i="4"/>
  <c r="K208" i="4"/>
  <c r="K205" i="4"/>
  <c r="K200" i="4"/>
  <c r="K199" i="4"/>
  <c r="K198" i="4"/>
  <c r="K197" i="4"/>
  <c r="K181" i="4"/>
  <c r="K180"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38" i="4"/>
  <c r="K105" i="4"/>
  <c r="K108" i="4" s="1"/>
  <c r="K88" i="4"/>
  <c r="K91" i="4" s="1"/>
  <c r="K44" i="4"/>
  <c r="K46" i="4" s="1"/>
  <c r="K16" i="4"/>
  <c r="K34" i="4" s="1"/>
  <c r="L18" i="4"/>
  <c r="L34" i="4" s="1"/>
  <c r="K186" i="4"/>
  <c r="J244" i="4"/>
  <c r="J210" i="4"/>
  <c r="J209" i="4"/>
  <c r="J204" i="4"/>
  <c r="J189" i="4"/>
  <c r="J139" i="4"/>
  <c r="J169" i="4" s="1"/>
  <c r="J121" i="4"/>
  <c r="J115" i="4"/>
  <c r="J116" i="4" s="1"/>
  <c r="J68" i="4"/>
  <c r="J67" i="4"/>
  <c r="J64" i="4"/>
  <c r="J45" i="4"/>
  <c r="J35" i="4"/>
  <c r="J19" i="4"/>
  <c r="J17" i="4"/>
  <c r="J14" i="4"/>
  <c r="J11" i="4"/>
  <c r="E255" i="4"/>
  <c r="I184" i="4"/>
  <c r="N184" i="4" s="1"/>
  <c r="I173" i="4"/>
  <c r="N173" i="4" s="1"/>
  <c r="I171" i="4"/>
  <c r="N171" i="4" s="1"/>
  <c r="I133" i="4"/>
  <c r="N133" i="4" s="1"/>
  <c r="I130" i="4"/>
  <c r="N130" i="4" s="1"/>
  <c r="I128" i="4"/>
  <c r="N128" i="4" s="1"/>
  <c r="I118" i="4"/>
  <c r="N118" i="4" s="1"/>
  <c r="I116" i="4"/>
  <c r="N116" i="4" s="1"/>
  <c r="I114" i="4"/>
  <c r="N114" i="4" s="1"/>
  <c r="I112" i="4"/>
  <c r="N112" i="4" s="1"/>
  <c r="I101" i="4"/>
  <c r="N101" i="4" s="1"/>
  <c r="I96" i="4"/>
  <c r="N96" i="4" s="1"/>
  <c r="I91" i="4"/>
  <c r="N91" i="4" s="1"/>
  <c r="I83" i="4"/>
  <c r="N83" i="4" s="1"/>
  <c r="I78" i="4"/>
  <c r="N78" i="4" s="1"/>
  <c r="I73" i="4"/>
  <c r="N73" i="4" s="1"/>
  <c r="I69" i="4"/>
  <c r="N69" i="4" s="1"/>
  <c r="I66" i="4"/>
  <c r="N66" i="4" s="1"/>
  <c r="I62" i="4"/>
  <c r="N62" i="4" s="1"/>
  <c r="I52" i="4"/>
  <c r="N52" i="4" s="1"/>
  <c r="I50" i="4"/>
  <c r="N50" i="4" s="1"/>
  <c r="I48" i="4"/>
  <c r="N48" i="4" s="1"/>
  <c r="I46" i="4"/>
  <c r="N46" i="4" s="1"/>
  <c r="I40" i="4"/>
  <c r="N40" i="4" s="1"/>
  <c r="I37" i="4"/>
  <c r="N37" i="4" s="1"/>
  <c r="J40" i="4" l="1"/>
  <c r="J37" i="4"/>
  <c r="J62" i="4"/>
  <c r="J46" i="4"/>
  <c r="J101" i="4"/>
  <c r="J112" i="4"/>
  <c r="K184" i="4"/>
  <c r="J69" i="4"/>
  <c r="L255" i="4"/>
  <c r="J73" i="4"/>
  <c r="N202" i="4"/>
  <c r="J66" i="4"/>
  <c r="K246" i="4"/>
  <c r="J78" i="4"/>
  <c r="J128" i="4"/>
  <c r="J133" i="4"/>
  <c r="J184" i="4"/>
  <c r="J96" i="4"/>
  <c r="J91" i="4"/>
  <c r="J83" i="4"/>
  <c r="I122" i="4"/>
  <c r="I123" i="4" l="1"/>
  <c r="N123" i="4" s="1"/>
  <c r="J122" i="4"/>
  <c r="J123" i="4" s="1"/>
  <c r="I53" i="4" l="1"/>
  <c r="I58" i="4" l="1"/>
  <c r="N58" i="4" s="1"/>
  <c r="J53" i="4"/>
  <c r="J58" i="4" s="1"/>
  <c r="I12" i="4"/>
  <c r="I34" i="4" l="1"/>
  <c r="N34" i="4" s="1"/>
  <c r="J12" i="4"/>
  <c r="J34" i="4" s="1"/>
  <c r="I108" i="4" l="1"/>
  <c r="N108" i="4" s="1"/>
  <c r="J104" i="4"/>
  <c r="J108" i="4" s="1"/>
  <c r="I194" i="4"/>
  <c r="I193" i="4"/>
  <c r="I192" i="4"/>
  <c r="I191" i="4"/>
  <c r="I190" i="4"/>
  <c r="I188" i="4"/>
  <c r="I187" i="4"/>
  <c r="K140" i="4"/>
  <c r="J191" i="4" l="1"/>
  <c r="N191" i="4"/>
  <c r="J187" i="4"/>
  <c r="N187" i="4"/>
  <c r="J192" i="4"/>
  <c r="N192" i="4"/>
  <c r="J188" i="4"/>
  <c r="N188" i="4"/>
  <c r="J193" i="4"/>
  <c r="N193" i="4"/>
  <c r="J190" i="4"/>
  <c r="N190" i="4"/>
  <c r="J194" i="4"/>
  <c r="N194" i="4"/>
  <c r="I246" i="4"/>
  <c r="I135" i="4"/>
  <c r="J246" i="4" l="1"/>
  <c r="J255" i="4" s="1"/>
  <c r="I169" i="4"/>
  <c r="I255" i="4" s="1"/>
  <c r="K135" i="4"/>
  <c r="K169" i="4" s="1"/>
  <c r="K255" i="4" s="1"/>
  <c r="D242" i="4"/>
  <c r="D213" i="4"/>
  <c r="D210" i="4"/>
  <c r="D209" i="4"/>
  <c r="D206" i="4"/>
  <c r="D202" i="4"/>
  <c r="D195" i="4"/>
  <c r="D255" i="4" s="1"/>
  <c r="N169" i="4" l="1"/>
  <c r="N255" i="4" s="1"/>
  <c r="C19" i="3"/>
  <c r="B17" i="3"/>
  <c r="B15" i="3"/>
  <c r="B14" i="3"/>
  <c r="B13" i="3"/>
  <c r="B12" i="3"/>
  <c r="B19" i="3" s="1"/>
  <c r="B11" i="3"/>
  <c r="B10" i="3"/>
  <c r="B9" i="3"/>
  <c r="H18" i="7" l="1"/>
  <c r="L16" i="7"/>
  <c r="K16" i="7"/>
  <c r="M16" i="7" s="1"/>
  <c r="M15" i="7"/>
  <c r="M14" i="7"/>
  <c r="L12" i="7"/>
  <c r="K12" i="7"/>
  <c r="M12" i="7" s="1"/>
  <c r="N12" i="7" s="1"/>
  <c r="M11" i="7"/>
  <c r="M10" i="7"/>
  <c r="M9" i="7"/>
  <c r="M22" i="6"/>
  <c r="L22" i="6"/>
  <c r="K22" i="6"/>
  <c r="J22" i="6"/>
  <c r="I22" i="6"/>
  <c r="F22" i="6"/>
  <c r="D19" i="3"/>
  <c r="D18" i="3"/>
  <c r="D17" i="3"/>
  <c r="D16" i="3"/>
  <c r="D15" i="3"/>
  <c r="D14" i="3"/>
  <c r="D13" i="3"/>
  <c r="D12" i="3"/>
  <c r="D11" i="3"/>
  <c r="D10" i="3"/>
  <c r="D9" i="3"/>
  <c r="D15" i="2"/>
  <c r="D13" i="2"/>
  <c r="D17" i="2" l="1"/>
  <c r="M18" i="7"/>
  <c r="N18" i="7" s="1"/>
  <c r="N16" i="7"/>
</calcChain>
</file>

<file path=xl/sharedStrings.xml><?xml version="1.0" encoding="utf-8"?>
<sst xmlns="http://schemas.openxmlformats.org/spreadsheetml/2006/main" count="1125" uniqueCount="458">
  <si>
    <t xml:space="preserve"> </t>
  </si>
  <si>
    <t>N.° 1</t>
  </si>
  <si>
    <t xml:space="preserve"> En colones</t>
  </si>
  <si>
    <t>PRESUPUESTO</t>
  </si>
  <si>
    <r>
      <rPr>
        <b/>
        <sz val="11"/>
        <color rgb="FF000000"/>
        <rFont val="Century Gothic"/>
      </rPr>
      <t xml:space="preserve">REAL </t>
    </r>
    <r>
      <rPr>
        <b/>
        <vertAlign val="superscript"/>
        <sz val="11"/>
        <color rgb="FF000000"/>
        <rFont val="Century Gothic"/>
      </rPr>
      <t>1</t>
    </r>
  </si>
  <si>
    <t xml:space="preserve">INGRESOS </t>
  </si>
  <si>
    <t>Menos:</t>
  </si>
  <si>
    <t>GASTOS</t>
  </si>
  <si>
    <t xml:space="preserve">SUPERÁVIT / DÉFICIT </t>
  </si>
  <si>
    <t>Menos:  Saldos con destino específico</t>
  </si>
  <si>
    <t>SUPERÁVIT LIBRE/DÉFICIT</t>
  </si>
  <si>
    <t>DETALLE SUPERÁVIT ESPECÍFICO:</t>
  </si>
  <si>
    <t>Concepto específico</t>
  </si>
  <si>
    <t>Fundamento legal o especial que lo justifica</t>
  </si>
  <si>
    <t>Monto</t>
  </si>
  <si>
    <t>...............</t>
  </si>
  <si>
    <t>Nombre del Alcalde Municipal</t>
  </si>
  <si>
    <t>Firma</t>
  </si>
  <si>
    <t>Nombre funcionario responsable</t>
  </si>
  <si>
    <t>proceso de liquidación presupuestaria</t>
  </si>
  <si>
    <t>Fecha</t>
  </si>
  <si>
    <t>Si</t>
  </si>
  <si>
    <t>No</t>
  </si>
  <si>
    <t xml:space="preserve"> N.° 2</t>
  </si>
  <si>
    <t xml:space="preserve">En atención al art. 5 de la Ley N.° 7755 Control de las Partidas Específicas con Cargo al Presupuesto Nacional y el art. 23 de su Reglamento. </t>
  </si>
  <si>
    <t>Ingreso</t>
  </si>
  <si>
    <t>Resultado porcentual</t>
  </si>
  <si>
    <t>Impuesto sobre bienes inmuebles</t>
  </si>
  <si>
    <t>Patentes municipales</t>
  </si>
  <si>
    <t>Servicio de recolección de residuos</t>
  </si>
  <si>
    <t>Servicio de aseo de vías y sitios público</t>
  </si>
  <si>
    <t>Servicio de parques y obras de ornato</t>
  </si>
  <si>
    <t>TOTAL</t>
  </si>
  <si>
    <t>Nombre del funcionario responsable de su elaboración</t>
  </si>
  <si>
    <t>Cargo que ocupa en la organización</t>
  </si>
  <si>
    <t>NOMBRE DE LA INSTITUCIÓN</t>
  </si>
  <si>
    <t>DETALLE DE ORIGEN Y APLICACIÓN DE RECURSOS</t>
  </si>
  <si>
    <t xml:space="preserve">Notas: 1. En esta primera hoja debe incluirse la totalidad de recursos percibidos por la institución (incluidos también los ingresos por transferencias de Presupuesto Nacional) y que coincidan con la liquidación.                                                     2. Incorporar en la columna "Aplicación" la información de los recursos por partida por objeto de gasto asi como por clasificación económica, lo cuales también deben coincidir con los datos registrados en la liquidación. </t>
  </si>
  <si>
    <t>3. Los ingresos se deben incorporar a máximo nivel de desglose de acuerdo con el clasificador de ingresos del sector público.</t>
  </si>
  <si>
    <t>Origen</t>
  </si>
  <si>
    <t>Aplicación de los gastos ejecutados</t>
  </si>
  <si>
    <t>CODIGO SEGÚN CLASIFICADOR DE INGRESOS</t>
  </si>
  <si>
    <t xml:space="preserve">INGRESO </t>
  </si>
  <si>
    <t>En caso de transferencias indique la institución concedente</t>
  </si>
  <si>
    <t>Presupuesto definitivo incorporado por la entidad</t>
  </si>
  <si>
    <r>
      <rPr>
        <b/>
        <sz val="10"/>
        <color rgb="FFFFFFFF"/>
        <rFont val="Arial"/>
      </rPr>
      <t>Ingreso real</t>
    </r>
    <r>
      <rPr>
        <b/>
        <sz val="9"/>
        <color rgb="FFFFFFFF"/>
        <rFont val="Arial"/>
      </rPr>
      <t xml:space="preserve">  (recaudado o recibido)</t>
    </r>
  </si>
  <si>
    <t>PROGRAMA</t>
  </si>
  <si>
    <r>
      <rPr>
        <b/>
        <sz val="11"/>
        <color rgb="FFFFFFFF"/>
        <rFont val="Arial"/>
      </rPr>
      <t xml:space="preserve">APLICACIÓN OBJETO DEL GASTO
</t>
    </r>
    <r>
      <rPr>
        <b/>
        <i/>
        <sz val="11"/>
        <color rgb="FFFFFFFF"/>
        <rFont val="Arial"/>
      </rPr>
      <t>(Por Partida)</t>
    </r>
  </si>
  <si>
    <t>Monto Ejecutado</t>
  </si>
  <si>
    <t>APLICACIÓN CLASIFICACIÓN ECONÓMICA</t>
  </si>
  <si>
    <t>Remanente</t>
  </si>
  <si>
    <t>Observaciones</t>
  </si>
  <si>
    <t>Gasto Corriente</t>
  </si>
  <si>
    <t>Gasto Capital</t>
  </si>
  <si>
    <t>Transacciones Financieras</t>
  </si>
  <si>
    <t>Sumas sin asignación</t>
  </si>
  <si>
    <t>INSTITUCIÓN: XXXXX</t>
  </si>
  <si>
    <t>CUADRO N.° 2</t>
  </si>
  <si>
    <r>
      <rPr>
        <b/>
        <sz val="12"/>
        <color theme="1"/>
        <rFont val="Arial"/>
      </rPr>
      <t>ORIGEN Y APLICACIÓN DE RECURSOS PROVENIENTES DE TRANSFERENCIAS ASIGNADAS EN EL PRESUPUESTO NACIONAL</t>
    </r>
    <r>
      <rPr>
        <b/>
        <i/>
        <sz val="12"/>
        <color theme="1"/>
        <rFont val="Arial"/>
      </rPr>
      <t xml:space="preserve"> (MONTOS EN MILLONES)</t>
    </r>
  </si>
  <si>
    <r>
      <rPr>
        <b/>
        <i/>
        <sz val="9"/>
        <color theme="1"/>
        <rFont val="Arial"/>
      </rP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color theme="1"/>
        <rFont val="Arial"/>
      </rPr>
      <t xml:space="preserve">
</t>
    </r>
  </si>
  <si>
    <t>Tipo de transferencia (Corriente o de capital)</t>
  </si>
  <si>
    <t>Concedente ( Institución Ministerio o título)</t>
  </si>
  <si>
    <t>Descripción de la finalidad de la transferencia Según lo incluido en la Ley de Presupuesto Nacional y su base legal</t>
  </si>
  <si>
    <t>La aplicación de la transferencia es:</t>
  </si>
  <si>
    <t>Monto incorporado en la Ley de Presupuesto Nacional</t>
  </si>
  <si>
    <t>Ingreso real</t>
  </si>
  <si>
    <t>Composición del gastos según C.E</t>
  </si>
  <si>
    <t>Total gasto ejecutado</t>
  </si>
  <si>
    <t>Programa</t>
  </si>
  <si>
    <t>Partida por objeto del gasto</t>
  </si>
  <si>
    <t>Gasto corriente real</t>
  </si>
  <si>
    <t>Gasto de Capital real</t>
  </si>
  <si>
    <t>Parámetros</t>
  </si>
  <si>
    <t>Transferencia corriente</t>
  </si>
  <si>
    <t>Transferencia de capital</t>
  </si>
  <si>
    <t>Título</t>
  </si>
  <si>
    <t>Libre</t>
  </si>
  <si>
    <t>Asamblea Legislativa</t>
  </si>
  <si>
    <t>Específica</t>
  </si>
  <si>
    <t>Contraloría General de la República</t>
  </si>
  <si>
    <t>Defensoría de los Habitantes de la República</t>
  </si>
  <si>
    <t>Ministerio de Agricultura y Ganadería</t>
  </si>
  <si>
    <t>Ministerio de Ciencia y Tecnología</t>
  </si>
  <si>
    <t>Ministerio de Comercio Exterior</t>
  </si>
  <si>
    <t>Ministerio de Cultura y Juventud</t>
  </si>
  <si>
    <t>Ministerio de Economía, Industria y Comercio</t>
  </si>
  <si>
    <t>Ministerio de Educación Pública</t>
  </si>
  <si>
    <t>Ministerio de Gobernación y Policía</t>
  </si>
  <si>
    <t>Ministerio de Hacienda</t>
  </si>
  <si>
    <t>Ministerio de Justicia y Paz</t>
  </si>
  <si>
    <t>Ministerio de la Presidencia</t>
  </si>
  <si>
    <t>Ministerio de Obras Públicas y Transportes</t>
  </si>
  <si>
    <t>Ministerio de Planificación Nacional y Política Económica</t>
  </si>
  <si>
    <t>Ministerio de Relaciones Exteriores y Culto</t>
  </si>
  <si>
    <t>Ministerio de Salud</t>
  </si>
  <si>
    <t>Ministerio de Seguridad Pública</t>
  </si>
  <si>
    <t>Ministerio de Trabajo y Seguridad Social</t>
  </si>
  <si>
    <t>Ministerio de Vivienda y Asentamientos Humanos</t>
  </si>
  <si>
    <t>Ministerio del Ambiente y Energía</t>
  </si>
  <si>
    <t>Partidas Específicas</t>
  </si>
  <si>
    <t>Poder Judicial</t>
  </si>
  <si>
    <t>Presidencia de la República</t>
  </si>
  <si>
    <t>Regímenes de Pensiones</t>
  </si>
  <si>
    <t>Servicio de la Deuda Pública</t>
  </si>
  <si>
    <t>Tribunal Supremo de Elecciones</t>
  </si>
  <si>
    <t>Agencia le Protección De Datos de los Habitantes (PRODHAB)</t>
  </si>
  <si>
    <t>Casa de la Cultura de Puntarenas</t>
  </si>
  <si>
    <t>Centro Costarricense de Produccion Cinematografica</t>
  </si>
  <si>
    <t>Centro Cultural e Historico José Figueres Ferrer</t>
  </si>
  <si>
    <t>Centro Nacional de la Música</t>
  </si>
  <si>
    <t>Comision Nacional de Prevención de Riesgos Y Atención de Emergencias</t>
  </si>
  <si>
    <t>Comision Nacional de Vacunación Y Epidemiología</t>
  </si>
  <si>
    <t>Comision Nacional para la Gestión de la Biodiversidad</t>
  </si>
  <si>
    <t>Comision para el Ordenamiento y Manejo de la Cuenca del Río Reventazón</t>
  </si>
  <si>
    <t>Consejo de Seguridad Vial</t>
  </si>
  <si>
    <t>Consejo de Transporte Público</t>
  </si>
  <si>
    <t>Consejo Nacional de Clubes 4-S</t>
  </si>
  <si>
    <t>Consejo Nacional de Concesiones</t>
  </si>
  <si>
    <t>Consejo Nacional de Investigación en Salud (Conis)</t>
  </si>
  <si>
    <t>Consejo Nacional de la Persona Adulta Mayor</t>
  </si>
  <si>
    <t>Consejo Nacional de la Política Pública de la Persona Joven</t>
  </si>
  <si>
    <t>Consejo Nacional de Personas con Discapacidad (CONAPDIS)</t>
  </si>
  <si>
    <t>Consejo Nacional de Vialidad</t>
  </si>
  <si>
    <t>Consejo Superior de Educación</t>
  </si>
  <si>
    <t>Consejo Técnico de Asistencia Médico Social</t>
  </si>
  <si>
    <t>Consejo Técnico de Aviación Civil</t>
  </si>
  <si>
    <t>Direccion Nacional de Centros de Educación y Nutrición y de Centros de Atención Integral</t>
  </si>
  <si>
    <t>Dirección Nacional de Notariado</t>
  </si>
  <si>
    <t>Fondo de Desarrollo Social y Asignaciones Familiares</t>
  </si>
  <si>
    <t>Fondo Nacional de Financiamiento Forestal</t>
  </si>
  <si>
    <t>Instituto Costarricense de Investigación y Enseñanza en Nutricion y Salud (Inciensa)</t>
  </si>
  <si>
    <t>Instituto Costarricense sobre Drogas</t>
  </si>
  <si>
    <t>Instituto de Desarrollo Profesional Uladislao Gamez Solano</t>
  </si>
  <si>
    <t>Instituto Nacional de Innovación Tecnológica Agropecuaria Inta</t>
  </si>
  <si>
    <t>Instituto sobre Alcoholismo y Farmacodependencia</t>
  </si>
  <si>
    <t>Junta Administrativa de la Dirección General de Migración y Extranjería</t>
  </si>
  <si>
    <t>Junta Administrativa de la Imprenta Nacional</t>
  </si>
  <si>
    <t>Junta Administrativa del Archivo Nacional</t>
  </si>
  <si>
    <t>Junta Administrativa del Registro Nacional</t>
  </si>
  <si>
    <t>Laboratorio Costarricense de Metrología</t>
  </si>
  <si>
    <t>Museo de Arte Costarricense</t>
  </si>
  <si>
    <t>Museo de Arte y Diseño Contemporaneo</t>
  </si>
  <si>
    <t>Museo Dr. Rafael Angel Calderón Guardia</t>
  </si>
  <si>
    <t>Museo Histórico Cultural Juan Santamaría</t>
  </si>
  <si>
    <t>Museo Nacional de Costa Rica</t>
  </si>
  <si>
    <t>Oficina de Cooperación Internacional de la Salud</t>
  </si>
  <si>
    <t>Servicio Fitosanitario del Estado</t>
  </si>
  <si>
    <t>Servicio Nacional de Salud Animal</t>
  </si>
  <si>
    <t>Sistema Nacional de Áreas de Conservación</t>
  </si>
  <si>
    <t>Sistema Nacional de Educación Musical</t>
  </si>
  <si>
    <t>Teatro Nacional</t>
  </si>
  <si>
    <t>Teatro Popular Melico Salazar</t>
  </si>
  <si>
    <t>Tribunal Registral Administrativo</t>
  </si>
  <si>
    <t>Partidas</t>
  </si>
  <si>
    <t>0 - Remuneraciones</t>
  </si>
  <si>
    <t>1 - Servicios</t>
  </si>
  <si>
    <t>2 - Materiales y suministros</t>
  </si>
  <si>
    <t>3 - Intereses y comisiones</t>
  </si>
  <si>
    <t>4 - Activos financieros</t>
  </si>
  <si>
    <t>5 - Bienes duraderos</t>
  </si>
  <si>
    <t>6 - Transferencias Corrientes</t>
  </si>
  <si>
    <t>7 - Transferencias de capital</t>
  </si>
  <si>
    <t>8 - Amortización</t>
  </si>
  <si>
    <t xml:space="preserve">9 - Cuentas especiales </t>
  </si>
  <si>
    <t>Base legal</t>
  </si>
  <si>
    <r>
      <rPr>
        <b/>
        <sz val="10"/>
        <color rgb="FFFFFFFF"/>
        <rFont val="Arial"/>
      </rPr>
      <t>Ingreso real</t>
    </r>
    <r>
      <rPr>
        <b/>
        <sz val="9"/>
        <color rgb="FFFFFFFF"/>
        <rFont val="Arial"/>
      </rPr>
      <t xml:space="preserve">  (recaudado o recibido)</t>
    </r>
  </si>
  <si>
    <r>
      <rPr>
        <b/>
        <sz val="11"/>
        <color rgb="FFFFFFFF"/>
        <rFont val="Arial"/>
      </rPr>
      <t xml:space="preserve">APLICACIÓN OBJETO DEL GASTO
</t>
    </r>
    <r>
      <rPr>
        <b/>
        <i/>
        <sz val="11"/>
        <color rgb="FFFFFFFF"/>
        <rFont val="Arial"/>
      </rPr>
      <t>(Por Partida)</t>
    </r>
  </si>
  <si>
    <t>MONTO</t>
  </si>
  <si>
    <t xml:space="preserve"> Gasto Corriente</t>
  </si>
  <si>
    <t xml:space="preserve"> Gasto Capital</t>
  </si>
  <si>
    <t>1.3.1.1.00.00.0.0.000</t>
  </si>
  <si>
    <t>Venta de bienes</t>
  </si>
  <si>
    <r>
      <rPr>
        <b/>
        <sz val="10"/>
        <color rgb="FF000000"/>
        <rFont val="Arial"/>
      </rPr>
      <t xml:space="preserve">Programa ABC </t>
    </r>
    <r>
      <rPr>
        <b/>
        <sz val="10"/>
        <color rgb="FFFF0000"/>
        <rFont val="Arial"/>
      </rPr>
      <t>(indicar nombre del programa)</t>
    </r>
  </si>
  <si>
    <t>Remuneraciones</t>
  </si>
  <si>
    <t>Bienes duraderos</t>
  </si>
  <si>
    <t xml:space="preserve">1.4.1.1.00.00.0.0.000 </t>
  </si>
  <si>
    <t>Transferencias corrientes del Gobierno Central</t>
  </si>
  <si>
    <t>Ministerio de Agricultura</t>
  </si>
  <si>
    <r>
      <rPr>
        <b/>
        <sz val="10"/>
        <color rgb="FF000000"/>
        <rFont val="Arial"/>
      </rPr>
      <t xml:space="preserve">Programa XYZ </t>
    </r>
    <r>
      <rPr>
        <b/>
        <sz val="10"/>
        <color rgb="FFFF0000"/>
        <rFont val="Arial"/>
      </rPr>
      <t>(indicar nombre del programa)</t>
    </r>
  </si>
  <si>
    <t>Servicios</t>
  </si>
  <si>
    <t>Materiales y suministros</t>
  </si>
  <si>
    <t>Intereses y comisiones</t>
  </si>
  <si>
    <t>Transferencias corrientes</t>
  </si>
  <si>
    <t>Transferencias de capital</t>
  </si>
  <si>
    <t>CUADRO N.° 1</t>
  </si>
  <si>
    <r>
      <rPr>
        <b/>
        <sz val="12"/>
        <color theme="1"/>
        <rFont val="Arial"/>
      </rPr>
      <t>ORIGEN Y APLICACIÓN DE RECURSOS PROVENIENTES DE TRANSFERENCIAS ASIGNADAS EN EL PRESUPUESTO NACIONAL</t>
    </r>
    <r>
      <rPr>
        <b/>
        <i/>
        <sz val="12"/>
        <color theme="1"/>
        <rFont val="Arial"/>
      </rPr>
      <t xml:space="preserve"> (MONTOS EN MILLONES)</t>
    </r>
  </si>
  <si>
    <t>Concedente (Ministerio o título)</t>
  </si>
  <si>
    <t>Descripción de la finalidad de la transferencia según lo incluido en la Ley de Presupuesto Nacional y su base legal</t>
  </si>
  <si>
    <t xml:space="preserve">PARA GASTOS DE OPERACIÓN, SEGÚN LEY N° 5412 Y SUS REFORMAS Y LOS ARTÍCULOS No. 22, 23 y 24 DEL TÍTULO IV DE LA LEY No. 9635 “LEY FORTALECIMIENTO DE LAS FINANZAS PÚBLICAS” DEL 3 DE DICIEMBRE DE 2018   </t>
  </si>
  <si>
    <t>Subtotal</t>
  </si>
  <si>
    <t>PARA EL DESARROLLO DE PROGRAMAS DESTINADOS AL DIAGNÓSTICO, INVESTIGACIÓN, PREVENCIÓN, TRATAMIENTO DE LOS TRANSTORNOS DEL CONSUMO DE TABACO, PROMOCIÓN DE LA SALUD Y REDUCCIÓN DEL CONSUMO, ASÍ COMO LA ATENCIÓN DE PERSONAS AFECTADAS Y CLÍNICAS DE CESACIÓN, SEGÚN ARTÍCULO 29 DE LA LEY N° 9028 DEL 22/03/2012 Y LOS ARTÍCULOS No. 15 y 25 DEL TÍTULO IV DE LA LEY No. 9635 “LEY FORTALECIMIENTO DE LAS FINANZAS PÚBLICAS” DEL 3 DE DICIEMBRE DE 2018 </t>
  </si>
  <si>
    <t>6 - Transferencias corrientes</t>
  </si>
  <si>
    <t>Transferencia destinada a la Asociación Anti consumo de Tabaco</t>
  </si>
  <si>
    <t>TOTAL INGRESOS</t>
  </si>
  <si>
    <t>TOTAL GASTOS EJECUTADOS</t>
  </si>
  <si>
    <t>Aplicación</t>
  </si>
  <si>
    <t>9 - Cuentas especiales</t>
  </si>
  <si>
    <t xml:space="preserve">Nota: </t>
  </si>
  <si>
    <t>1. Si se aplican los ingresos en transferencias indicar en la columna de observaciones el destinatario de cada una de las transferencia.</t>
  </si>
  <si>
    <t>2. Se debe reflejar el resultado por cada transferencia incorporada, de manera que se pueda obtener el remanente global de las transferencias incorporadas (ver ejemplo en el cuadro).</t>
  </si>
  <si>
    <t>MUNICIPALIDAD DE BAGACES</t>
  </si>
  <si>
    <t>LIQUIDACIÓN DEL PRESUPUESTO  2021</t>
  </si>
  <si>
    <t>1/ Incluye los compromisos presupuestarios contraídos al 31-12-2021, pendientes de liquidación, según lo establecido en el artículo 116 del Código Municipal:</t>
  </si>
  <si>
    <t>X</t>
  </si>
  <si>
    <t>Eva Vásquez Vásquez</t>
  </si>
  <si>
    <t>Natalia Jiménez Ruiz</t>
  </si>
  <si>
    <t>Fondo programas deportivos 50% espectáculos públicos</t>
  </si>
  <si>
    <t>Comité Cantonal de Deportes</t>
  </si>
  <si>
    <t>Unión de Gobiernos Locales</t>
  </si>
  <si>
    <t>Federación de Municipalidades de Guanacaste</t>
  </si>
  <si>
    <t>Fondo Ley Simplificación y Eficiencia Tributarias Ley Nº 8114</t>
  </si>
  <si>
    <t xml:space="preserve">Proyectos y programas para la Persona Joven </t>
  </si>
  <si>
    <t>Fondo Aseo de Vías</t>
  </si>
  <si>
    <t>Fondo recolección de basura</t>
  </si>
  <si>
    <t>Fondo cementerio</t>
  </si>
  <si>
    <t>Fondo de parques y obras de ornato</t>
  </si>
  <si>
    <t>Fondo servicio de mercado</t>
  </si>
  <si>
    <t>Saldo de partidas específicas</t>
  </si>
  <si>
    <t xml:space="preserve">Saldo trasnferencias Anexo-5 transferencias </t>
  </si>
  <si>
    <t>Derechos entrada a instalaciones Recreativas, Culturales y Deportivas</t>
  </si>
  <si>
    <t>Fondo Patrimonio Histórico</t>
  </si>
  <si>
    <t>Fondo de la niñez y la adolescencia</t>
  </si>
  <si>
    <t>Otro superávit específico (Diferencia con Contabilidad ingresos 2020)</t>
  </si>
  <si>
    <t>Fondo de Desarrollo Municipal, 8% del IBI</t>
  </si>
  <si>
    <t>Ley Nº 7509</t>
  </si>
  <si>
    <t>Junta Administrativa del Registro Nacional, 3% del IBI</t>
  </si>
  <si>
    <t xml:space="preserve">Instituto de Fomento y Asesoría Municipal, 3% del IBI </t>
  </si>
  <si>
    <t>Juntas de educación, 10% impuesto territorial y 10% IBI</t>
  </si>
  <si>
    <t>Organismo de Normalización Técnica, 1% del IBI</t>
  </si>
  <si>
    <t>Ley Nº 7729</t>
  </si>
  <si>
    <t>Aporte al Consejo Nacional de Personas con Discapacidad (CONAPDIS)</t>
  </si>
  <si>
    <t>Aporte CONAGEBIO</t>
  </si>
  <si>
    <t>Aporte Fondo Parques Nacionales</t>
  </si>
  <si>
    <t>Estrategias de protección medio ambiente</t>
  </si>
  <si>
    <t xml:space="preserve">Impuesto a personas que  salen del país por aeropuertos  </t>
  </si>
  <si>
    <t>Ley Nº 9156</t>
  </si>
  <si>
    <t>Ley N°9303</t>
  </si>
  <si>
    <t>Artículo 100 del Código Municipal</t>
  </si>
  <si>
    <t>Estatutos de la institución</t>
  </si>
  <si>
    <t>Ley Nº 7097-88 y sus reformas</t>
  </si>
  <si>
    <t>Ley Nº 8678</t>
  </si>
  <si>
    <t>Ley Nº 7788 10%</t>
  </si>
  <si>
    <t xml:space="preserve">Ley Nº 7788 70% </t>
  </si>
  <si>
    <t>Ley Nº 7788 30%</t>
  </si>
  <si>
    <t>Ley Nº 8114 - 9329</t>
  </si>
  <si>
    <t>Ley Nº 8261</t>
  </si>
  <si>
    <t>Ley Nº 7794</t>
  </si>
  <si>
    <t>Leyes Nº7509 y 7729</t>
  </si>
  <si>
    <t>Ley Nº 9385</t>
  </si>
  <si>
    <t>Ley Nº 7755</t>
  </si>
  <si>
    <t>Municipalidad de Bagaces</t>
  </si>
  <si>
    <t>Monto puesto al cobro durante el 2021</t>
  </si>
  <si>
    <t>Licencias de Licores</t>
  </si>
  <si>
    <t>Mantenimiento y Limpieza Cementerio</t>
  </si>
  <si>
    <t>Multa por construcciones</t>
  </si>
  <si>
    <t xml:space="preserve">Timbre de Parques Nacionales </t>
  </si>
  <si>
    <t>Impuesto sobre lotes Inc y Solares</t>
  </si>
  <si>
    <t>Total Morosidad al 31/12/2021</t>
  </si>
  <si>
    <t>ESTADO DEL PENDIENTE DE COBRO AL 31 DE DICIEMBRE DEL 2021</t>
  </si>
  <si>
    <t>Notas: 1. Columna "Ingreso":  Corresponde a todos aquellos ingresos donde se registra morosidad (si no está especificado, debe incorporarse en la celda denominada "Otro…"). 2. Columna "Total Morosidad al 31/12/2021": Correspone al "Monto puesto al cobro durante el 2021" menos el total recaudado a esa misma fecha.  3. Columna "Monto puesto al cobro durante el 2021": Corresponde al monto total acumulativo puesto al cobro (suma de pendiente de cobro de periodos anteriores más monto facturado en el 2021).</t>
  </si>
  <si>
    <t>Fabiola Rojas Cháves</t>
  </si>
  <si>
    <t>Directora financiera, administrativa y tributaria</t>
  </si>
  <si>
    <t>1.1.2.1.01.00.0.0.000</t>
  </si>
  <si>
    <t>1.1.2.1.02.00.0.0.000</t>
  </si>
  <si>
    <t>Impuesto sobre la propiedad de bienes inmuebles ley 7729</t>
  </si>
  <si>
    <t>Impuesto sobre la propiedad de bienes inmuebles ley 7509</t>
  </si>
  <si>
    <t>1.1.3.2.01.02.0.0.000</t>
  </si>
  <si>
    <t xml:space="preserve">Impuestos específicos s/ la explotación de recursos naturales y minerales  </t>
  </si>
  <si>
    <t>1.1.3.2.01.04.2.0.000</t>
  </si>
  <si>
    <t>Impuesto sobre el cemento</t>
  </si>
  <si>
    <t>1.1.3.2.01.05.0.0.000</t>
  </si>
  <si>
    <t>Impuestos específicos s/la construcción</t>
  </si>
  <si>
    <t>1.1.3.2.02.03.1.0.000</t>
  </si>
  <si>
    <t>Impuesto sobre espectáculos públicos 6%</t>
  </si>
  <si>
    <t>1.1.3.2.02.09.2.0.000</t>
  </si>
  <si>
    <t>Otros impuestos específicos a los serv de diversión y esparcimiento 5%</t>
  </si>
  <si>
    <t>1.1.3.3.01.02.0.0.000</t>
  </si>
  <si>
    <t>1.1.3.3.01.09.0.0.000</t>
  </si>
  <si>
    <t>Otras licencias profesionales comerciales y otros permisos Patentes de licores</t>
  </si>
  <si>
    <t>1.1.9.1.01.00.0.0.000</t>
  </si>
  <si>
    <t xml:space="preserve">Timbres municipales </t>
  </si>
  <si>
    <t>1.1.9.1.02.00.0.0.000</t>
  </si>
  <si>
    <t>Timbres parques nacionales</t>
  </si>
  <si>
    <t>1.3.1.2.04.01.1.0.000</t>
  </si>
  <si>
    <t>Alquiler de mercado</t>
  </si>
  <si>
    <t>1.3.1.2.05.03.0.0.000</t>
  </si>
  <si>
    <t>Servicios de Cementerio</t>
  </si>
  <si>
    <t>1.3.1.2.05.03.1.0.000</t>
  </si>
  <si>
    <t>Servicio de Cementerio (Venta de Nichos)</t>
  </si>
  <si>
    <t>1.3.1.2.05.04.1.0.000</t>
  </si>
  <si>
    <t>Servicio de recoleción de basura</t>
  </si>
  <si>
    <t>1.3.1.2.05.04.2.0.000</t>
  </si>
  <si>
    <t>Servicio de aseo de vías y sitios públicos</t>
  </si>
  <si>
    <t>1.3.1.2.05.04.4.0.000</t>
  </si>
  <si>
    <t>Mantenimiento de parques y obras de ornato</t>
  </si>
  <si>
    <t>1.3.1.2.09.04.1.0.000</t>
  </si>
  <si>
    <t>1.3.1.3.01.01.1.0.000</t>
  </si>
  <si>
    <t xml:space="preserve">Derechos de estacionamiento y terminales </t>
  </si>
  <si>
    <t>1.3.1.3.02.09.1.0.000</t>
  </si>
  <si>
    <t>Derechos de cementerio</t>
  </si>
  <si>
    <t>1.3.2.3.03.01.0.0.000</t>
  </si>
  <si>
    <t>Intereses s/cuentas corrientes y otros depósitos en bancos estatales</t>
  </si>
  <si>
    <t>1.3.3.1.02.00.0.0.000</t>
  </si>
  <si>
    <t>Multas por atraso en pagos de impuesto</t>
  </si>
  <si>
    <t>1.3.4.1.00.00.0.0.000</t>
  </si>
  <si>
    <t>Intereses moratorios por atraso en pago de impuesto</t>
  </si>
  <si>
    <t>1.3.9.9.00.00.0.0.000</t>
  </si>
  <si>
    <t>Ingresos varios no especificados</t>
  </si>
  <si>
    <t>1.4.1.2.02.00.0.0.000</t>
  </si>
  <si>
    <t>Consejo nacional de política pública de la persona joven</t>
  </si>
  <si>
    <t>1.4.1.3.01.00.0.0.000</t>
  </si>
  <si>
    <t xml:space="preserve">IFAM ley de licores nacionales y extranjeros </t>
  </si>
  <si>
    <t>1.4.1.3.02.00.0.0.000</t>
  </si>
  <si>
    <t>Juntas de educacion</t>
  </si>
  <si>
    <t>2.4.1.1.01.00.0.0.000</t>
  </si>
  <si>
    <t>Ley de simplificación de eficiencia tributaria ley No 8114</t>
  </si>
  <si>
    <t>2.4.1.1.02.00.0.0.000</t>
  </si>
  <si>
    <t>Ley reguladora de los derechos de salida del territorio nacional Ley №9156</t>
  </si>
  <si>
    <t>2.4.1.3.01.00.0.0.000</t>
  </si>
  <si>
    <t>IFAM ley 6909</t>
  </si>
  <si>
    <t>3.3.1.0.00.00.0.0.000</t>
  </si>
  <si>
    <t>Superávit libre</t>
  </si>
  <si>
    <t>3.3.2.1.00.00.0.0.000</t>
  </si>
  <si>
    <t>Consejo de la Persona Joven</t>
  </si>
  <si>
    <t>Instituto de Fomento y Asesoría Municipal</t>
  </si>
  <si>
    <t>Junta de Educación Bagaces</t>
  </si>
  <si>
    <t>II-1</t>
  </si>
  <si>
    <t>Fondo de Desarrollo Municipal, 8% del IBI, Ley Nº 7509</t>
  </si>
  <si>
    <t>Junta Administrativa del Registro Nacional, 3% del IBI, Leyes 7509 y 7729</t>
  </si>
  <si>
    <t>Instituto de Fomento y Asesoría Municipal, 3% del IBI, Ley Nº 7509</t>
  </si>
  <si>
    <t>Juntas de educación, 10% impuesto territorial y 10% IBI, Leyes 7509 y 7729</t>
  </si>
  <si>
    <t>Organismo de Normalización Técnica, 1% del IBI, Ley Nº 7729</t>
  </si>
  <si>
    <t>Aporte al Consejo Nacional de Personas con Discapacidad (CONAPDIS) Ley N°9303</t>
  </si>
  <si>
    <t>Ley Nº7788 70% aporte Fondo Parques Nacionales</t>
  </si>
  <si>
    <t xml:space="preserve">Saldo transferencias Anexo-5 transferencias </t>
  </si>
  <si>
    <t>Impuesto a personas que  salen del país por aeropuertos  Ley Nº 9156</t>
  </si>
  <si>
    <t>Diferencia con tesorería</t>
  </si>
  <si>
    <t>Derechos de estacionamiento y terminales (artículo 9 de la ley N°3503)</t>
  </si>
  <si>
    <t>Ley Nº7788 30% Estrategias de protección medio ambiente</t>
  </si>
  <si>
    <t>II-2</t>
  </si>
  <si>
    <t>II-16</t>
  </si>
  <si>
    <t>III-6-6</t>
  </si>
  <si>
    <t>III-6-29</t>
  </si>
  <si>
    <t>III-6-9</t>
  </si>
  <si>
    <t>III-6-10</t>
  </si>
  <si>
    <t>III-6-11</t>
  </si>
  <si>
    <t>III-7-6</t>
  </si>
  <si>
    <t>III-2-1</t>
  </si>
  <si>
    <t>III-2-2</t>
  </si>
  <si>
    <t>III-2-3</t>
  </si>
  <si>
    <t>III-2-4</t>
  </si>
  <si>
    <t>III-2-5</t>
  </si>
  <si>
    <t>III-2-6</t>
  </si>
  <si>
    <t>III-2-7</t>
  </si>
  <si>
    <t>III-2-8</t>
  </si>
  <si>
    <t>III-2-9</t>
  </si>
  <si>
    <t>III-2-10</t>
  </si>
  <si>
    <t>III-2-11</t>
  </si>
  <si>
    <t>III-2-12</t>
  </si>
  <si>
    <t>III-2-13</t>
  </si>
  <si>
    <t>III-2-14</t>
  </si>
  <si>
    <t>III-2-16</t>
  </si>
  <si>
    <t>III-2-17</t>
  </si>
  <si>
    <t>III-2-18</t>
  </si>
  <si>
    <t>III-2-19</t>
  </si>
  <si>
    <t>III-2-20</t>
  </si>
  <si>
    <t>III-2-21</t>
  </si>
  <si>
    <t>III-2-22</t>
  </si>
  <si>
    <t>III-2-23</t>
  </si>
  <si>
    <t>III-2-24</t>
  </si>
  <si>
    <t>III-2-25</t>
  </si>
  <si>
    <t>III-2-27</t>
  </si>
  <si>
    <t>III-2-28</t>
  </si>
  <si>
    <t>III-2-31</t>
  </si>
  <si>
    <t>III-2-32</t>
  </si>
  <si>
    <t>III-2-33</t>
  </si>
  <si>
    <t>III-2-34</t>
  </si>
  <si>
    <t>III-2-35</t>
  </si>
  <si>
    <t>III-2-36</t>
  </si>
  <si>
    <t>IV-6-1</t>
  </si>
  <si>
    <t>IV-6-2</t>
  </si>
  <si>
    <t>IV-6-3</t>
  </si>
  <si>
    <t>IV-6-5</t>
  </si>
  <si>
    <t>IV-6-6</t>
  </si>
  <si>
    <t>IV-6-7</t>
  </si>
  <si>
    <t>IV-6-10</t>
  </si>
  <si>
    <t>IV-6-11</t>
  </si>
  <si>
    <t>IV-6-12</t>
  </si>
  <si>
    <t>IV-6-14</t>
  </si>
  <si>
    <t>IV-6-16</t>
  </si>
  <si>
    <t>IV-6-18</t>
  </si>
  <si>
    <t>IV-6-20</t>
  </si>
  <si>
    <t>IV-6-21</t>
  </si>
  <si>
    <t>IV-6-22</t>
  </si>
  <si>
    <t>IV-6-23</t>
  </si>
  <si>
    <t>IV-6-24</t>
  </si>
  <si>
    <t>IV-6-25</t>
  </si>
  <si>
    <t>I-4</t>
  </si>
  <si>
    <t>II-14</t>
  </si>
  <si>
    <t>I-1</t>
  </si>
  <si>
    <t>II-4</t>
  </si>
  <si>
    <t>III-6-1</t>
  </si>
  <si>
    <t>II-5</t>
  </si>
  <si>
    <t>III-6-25</t>
  </si>
  <si>
    <t>III-6-15</t>
  </si>
  <si>
    <t>III-6-14</t>
  </si>
  <si>
    <t>III-6-16</t>
  </si>
  <si>
    <t>III-6-17</t>
  </si>
  <si>
    <t>II-7</t>
  </si>
  <si>
    <t>I-3</t>
  </si>
  <si>
    <t>II-3</t>
  </si>
  <si>
    <t>II-9</t>
  </si>
  <si>
    <t>II-10</t>
  </si>
  <si>
    <t>II-17</t>
  </si>
  <si>
    <t>II-25</t>
  </si>
  <si>
    <t>II-26</t>
  </si>
  <si>
    <t>III-7-1</t>
  </si>
  <si>
    <t>III-6-8</t>
  </si>
  <si>
    <t>I-2</t>
  </si>
  <si>
    <t>III-7-3</t>
  </si>
  <si>
    <t>II-11</t>
  </si>
  <si>
    <t>III-6-30</t>
  </si>
  <si>
    <t>PATRIMONIO</t>
  </si>
  <si>
    <t>NIÑEZ</t>
  </si>
  <si>
    <t>MEDIO AMBIENTE</t>
  </si>
  <si>
    <t>Fondo Aseo de Vias</t>
  </si>
  <si>
    <t>Fondo Recolección de basura</t>
  </si>
  <si>
    <t>Fondo de cementerio</t>
  </si>
  <si>
    <t>Fondo de parques</t>
  </si>
  <si>
    <t>Fondo de mercado</t>
  </si>
  <si>
    <t>Fondo Ley 8114-9329</t>
  </si>
  <si>
    <t>Consejo Persona Joven</t>
  </si>
  <si>
    <t>Saldo de Partidas específicas</t>
  </si>
  <si>
    <t xml:space="preserve">Saldo transferencias Anexo-5 trasnferencias </t>
  </si>
  <si>
    <t>Saldo Ley 9156</t>
  </si>
  <si>
    <t>Fondo de estacionamiento y terminales</t>
  </si>
  <si>
    <t>Derecho entrada inst recreativas</t>
  </si>
  <si>
    <t>Saldo Ley 7788</t>
  </si>
  <si>
    <t>Fondo de Desarrollo Municipal ¢416,24,Junta Administrativa del Registro Nacional 1.338.714,84, Instituto de Fomento y Asesoría Municipal 156.09, Juntas de educación 43.198.327,86,Organismo de Normalización Técnica 446.262.27, Comité Cantonal de Deportes 8.270.306,84,CONAPDIS 5.400.839.96, Unión de Gobiernos Locales 1.924.736.75-LIBRE 73.893.561</t>
  </si>
  <si>
    <t>* Libre</t>
  </si>
  <si>
    <t>Femugua 1.214.500,10 libre 41.303.839,07</t>
  </si>
  <si>
    <t>Fondo programas deportivos 50% espectáculos públicos 12.000,00</t>
  </si>
  <si>
    <t>Derechos de estacionamiento y terminales</t>
  </si>
  <si>
    <t>INSTITUCIÓN: MUNICIPALIDAD DE BAGACES</t>
  </si>
  <si>
    <t>Ley N°3580</t>
  </si>
  <si>
    <t>Vacias</t>
  </si>
  <si>
    <t>Libre IBI</t>
  </si>
  <si>
    <t>Cemento</t>
  </si>
  <si>
    <t>Total</t>
  </si>
  <si>
    <t>PROG II</t>
  </si>
  <si>
    <t>PROG I</t>
  </si>
  <si>
    <t>PROG III</t>
  </si>
  <si>
    <t>PROG IV</t>
  </si>
  <si>
    <t>Superavit Especifíco detalle:</t>
  </si>
  <si>
    <t>Ley 9329-8114</t>
  </si>
  <si>
    <t>III</t>
  </si>
  <si>
    <t>Se incorprará en Extraordinario 01-2022</t>
  </si>
  <si>
    <t>Ley 9656-Ley 8848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</si>
</sst>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
    <numFmt numFmtId="166" formatCode="_-* #,##0.00_-;\-* #,##0.00_-;_-* &quot;-&quot;??_-;_-@"/>
    <numFmt numFmtId="167" formatCode="[$₡-140A]#,##0.00"/>
  </numFmts>
  <fonts count="60" x14ac:knownFonts="1">
    <font>
      <sz val="10"/>
      <color rgb="FF000000"/>
      <name val="Arial"/>
    </font>
    <font>
      <sz val="10"/>
      <name val="Arial"/>
    </font>
    <font>
      <b/>
      <sz val="10"/>
      <color theme="1"/>
      <name val="Arial"/>
    </font>
    <font>
      <sz val="10"/>
      <color theme="1"/>
      <name val="Arial"/>
    </font>
    <font>
      <b/>
      <sz val="14"/>
      <color rgb="FFFFFFFF"/>
      <name val="Century Gothic"/>
    </font>
    <font>
      <sz val="11"/>
      <color rgb="FFFFFFFF"/>
      <name val="Century Gothic"/>
    </font>
    <font>
      <sz val="11"/>
      <color rgb="FF000000"/>
      <name val="Century Gothic"/>
    </font>
    <font>
      <sz val="10"/>
      <color theme="1"/>
      <name val="Century Gothic"/>
    </font>
    <font>
      <b/>
      <sz val="11"/>
      <color rgb="FF000000"/>
      <name val="Century Gothic"/>
    </font>
    <font>
      <b/>
      <sz val="10"/>
      <color theme="1"/>
      <name val="Century Gothic"/>
    </font>
    <font>
      <b/>
      <sz val="11"/>
      <color theme="1"/>
      <name val="Century Gothic"/>
    </font>
    <font>
      <sz val="11"/>
      <color theme="1"/>
      <name val="Century Gothic"/>
    </font>
    <font>
      <b/>
      <sz val="9"/>
      <color rgb="FFFFFFFF"/>
      <name val="Century Gothic"/>
    </font>
    <font>
      <sz val="14"/>
      <color theme="0"/>
      <name val="Arial"/>
    </font>
    <font>
      <b/>
      <sz val="14"/>
      <color theme="1"/>
      <name val="Calibri"/>
    </font>
    <font>
      <b/>
      <sz val="14"/>
      <color theme="1"/>
      <name val="Century Gothic"/>
    </font>
    <font>
      <b/>
      <sz val="11"/>
      <color theme="1"/>
      <name val="Arial"/>
    </font>
    <font>
      <b/>
      <sz val="8"/>
      <color theme="1"/>
      <name val="Arial"/>
    </font>
    <font>
      <b/>
      <sz val="12"/>
      <color rgb="FFFFFFFF"/>
      <name val="Century Gothic"/>
    </font>
    <font>
      <b/>
      <i/>
      <sz val="9"/>
      <color theme="1"/>
      <name val="Arial"/>
    </font>
    <font>
      <b/>
      <sz val="10"/>
      <color rgb="FFFFFFFF"/>
      <name val="Arial"/>
    </font>
    <font>
      <b/>
      <sz val="10"/>
      <color rgb="FFFFFFFF"/>
      <name val="Century Gothic"/>
    </font>
    <font>
      <sz val="9"/>
      <color theme="1"/>
      <name val="Century Gothic"/>
    </font>
    <font>
      <sz val="10"/>
      <color theme="1"/>
      <name val="Calibri"/>
    </font>
    <font>
      <b/>
      <sz val="8"/>
      <color rgb="FFFFFFFF"/>
      <name val="Century Gothic"/>
    </font>
    <font>
      <sz val="10"/>
      <color rgb="FFFFFFFF"/>
      <name val="Century Gothic"/>
    </font>
    <font>
      <sz val="10"/>
      <color rgb="FFFFFFFF"/>
      <name val="Calibri"/>
    </font>
    <font>
      <sz val="11"/>
      <color theme="1"/>
      <name val="Arial"/>
    </font>
    <font>
      <b/>
      <sz val="12"/>
      <color rgb="FFFF0000"/>
      <name val="Arial"/>
    </font>
    <font>
      <b/>
      <sz val="12"/>
      <color theme="1"/>
      <name val="Arial"/>
    </font>
    <font>
      <b/>
      <sz val="12"/>
      <color theme="0"/>
      <name val="Arial"/>
    </font>
    <font>
      <b/>
      <sz val="10"/>
      <color rgb="FFFFFFFF"/>
      <name val="Arial"/>
    </font>
    <font>
      <b/>
      <sz val="11"/>
      <color rgb="FFFFFFFF"/>
      <name val="Arial"/>
    </font>
    <font>
      <b/>
      <sz val="9"/>
      <color rgb="FFFFFFFF"/>
      <name val="Arial"/>
    </font>
    <font>
      <b/>
      <sz val="10"/>
      <color theme="0"/>
      <name val="Arial"/>
    </font>
    <font>
      <sz val="10"/>
      <color theme="1"/>
      <name val="Arial"/>
    </font>
    <font>
      <b/>
      <sz val="10"/>
      <color theme="1"/>
      <name val="Arial"/>
    </font>
    <font>
      <sz val="11"/>
      <color theme="0"/>
      <name val="Calibri"/>
    </font>
    <font>
      <sz val="11"/>
      <color theme="1"/>
      <name val="Calibri"/>
    </font>
    <font>
      <sz val="10"/>
      <color theme="0"/>
      <name val="Calibri"/>
    </font>
    <font>
      <b/>
      <sz val="11"/>
      <color theme="1"/>
      <name val="Calibri"/>
    </font>
    <font>
      <sz val="12"/>
      <color theme="1"/>
      <name val="Calibri"/>
    </font>
    <font>
      <b/>
      <vertAlign val="superscript"/>
      <sz val="11"/>
      <color rgb="FF000000"/>
      <name val="Century Gothic"/>
    </font>
    <font>
      <b/>
      <i/>
      <sz val="11"/>
      <color rgb="FFFFFFFF"/>
      <name val="Arial"/>
    </font>
    <font>
      <b/>
      <i/>
      <sz val="12"/>
      <color theme="1"/>
      <name val="Arial"/>
    </font>
    <font>
      <i/>
      <sz val="9"/>
      <color theme="1"/>
      <name val="Arial"/>
    </font>
    <font>
      <b/>
      <sz val="10"/>
      <color rgb="FF000000"/>
      <name val="Arial"/>
    </font>
    <font>
      <b/>
      <sz val="10"/>
      <color rgb="FFFF0000"/>
      <name val="Arial"/>
    </font>
    <font>
      <b/>
      <sz val="10"/>
      <color theme="1"/>
      <name val="Arial"/>
      <family val="2"/>
    </font>
    <font>
      <sz val="11"/>
      <color rgb="FF000000"/>
      <name val="Century Gothic"/>
      <family val="2"/>
    </font>
    <font>
      <sz val="11"/>
      <name val="Arial"/>
      <family val="2"/>
    </font>
    <font>
      <sz val="10"/>
      <color theme="1"/>
      <name val="Century Gothic"/>
      <family val="2"/>
    </font>
    <font>
      <sz val="10"/>
      <color theme="1"/>
      <name val="Calibri"/>
      <family val="2"/>
    </font>
    <font>
      <b/>
      <sz val="10"/>
      <color rgb="FF000000"/>
      <name val="Arial"/>
      <family val="2"/>
    </font>
    <font>
      <b/>
      <sz val="10"/>
      <color theme="1"/>
      <name val="Calibri"/>
      <family val="2"/>
    </font>
    <font>
      <b/>
      <sz val="12"/>
      <color theme="1"/>
      <name val="Arial"/>
      <family val="2"/>
    </font>
    <font>
      <sz val="10"/>
      <color rgb="FF000000"/>
      <name val="Arial"/>
      <family val="2"/>
    </font>
    <font>
      <sz val="10"/>
      <name val="Arial"/>
      <family val="2"/>
    </font>
    <font>
      <sz val="10"/>
      <color theme="1"/>
      <name val="Arial"/>
      <family val="2"/>
    </font>
    <font>
      <sz val="11"/>
      <color theme="1"/>
      <name val="Calibri"/>
      <family val="2"/>
    </font>
  </fonts>
  <fills count="19">
    <fill>
      <patternFill patternType="none"/>
    </fill>
    <fill>
      <patternFill patternType="gray125"/>
    </fill>
    <fill>
      <patternFill patternType="solid">
        <fgColor rgb="FF073763"/>
        <bgColor rgb="FF073763"/>
      </patternFill>
    </fill>
    <fill>
      <patternFill patternType="solid">
        <fgColor rgb="FFD9EAD3"/>
        <bgColor rgb="FFD9EAD3"/>
      </patternFill>
    </fill>
    <fill>
      <patternFill patternType="solid">
        <fgColor rgb="FFEA9999"/>
        <bgColor rgb="FFEA9999"/>
      </patternFill>
    </fill>
    <fill>
      <patternFill patternType="solid">
        <fgColor rgb="FFDAEEF3"/>
        <bgColor rgb="FFDAEEF3"/>
      </patternFill>
    </fill>
    <fill>
      <patternFill patternType="solid">
        <fgColor rgb="FFE36C09"/>
        <bgColor rgb="FFE36C09"/>
      </patternFill>
    </fill>
    <fill>
      <patternFill patternType="solid">
        <fgColor rgb="FF1F497D"/>
        <bgColor rgb="FF1F497D"/>
      </patternFill>
    </fill>
    <fill>
      <patternFill patternType="solid">
        <fgColor rgb="FF1064B0"/>
        <bgColor rgb="FF1064B0"/>
      </patternFill>
    </fill>
    <fill>
      <patternFill patternType="solid">
        <fgColor rgb="FF147EDE"/>
        <bgColor rgb="FF147EDE"/>
      </patternFill>
    </fill>
    <fill>
      <patternFill patternType="solid">
        <fgColor rgb="FF258DEB"/>
        <bgColor rgb="FF258DEB"/>
      </patternFill>
    </fill>
    <fill>
      <patternFill patternType="solid">
        <fgColor rgb="FFFBFBFB"/>
        <bgColor rgb="FFFBFBFB"/>
      </patternFill>
    </fill>
    <fill>
      <patternFill patternType="solid">
        <fgColor rgb="FFD8D8D8"/>
        <bgColor rgb="FFD8D8D8"/>
      </patternFill>
    </fill>
    <fill>
      <patternFill patternType="solid">
        <fgColor rgb="FFE3E3E3"/>
        <bgColor rgb="FF000000"/>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27"/>
    <xf numFmtId="0" fontId="57" fillId="0" borderId="27"/>
  </cellStyleXfs>
  <cellXfs count="258">
    <xf numFmtId="0" fontId="0" fillId="0" borderId="0" xfId="0" applyFont="1" applyAlignment="1"/>
    <xf numFmtId="4" fontId="3" fillId="0" borderId="1" xfId="0" applyNumberFormat="1" applyFont="1" applyBorder="1"/>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vertical="center" wrapText="1"/>
    </xf>
    <xf numFmtId="4" fontId="6" fillId="0" borderId="0" xfId="0" applyNumberFormat="1" applyFont="1" applyAlignment="1">
      <alignment horizontal="right" vertical="center" wrapText="1"/>
    </xf>
    <xf numFmtId="164" fontId="6" fillId="0" borderId="0" xfId="0" applyNumberFormat="1" applyFont="1" applyAlignment="1">
      <alignment horizontal="right" vertical="center" wrapText="1"/>
    </xf>
    <xf numFmtId="0" fontId="6" fillId="0" borderId="0" xfId="0" applyFont="1" applyAlignment="1">
      <alignment vertical="center" wrapText="1"/>
    </xf>
    <xf numFmtId="165" fontId="6" fillId="0" borderId="0" xfId="0" applyNumberFormat="1" applyFont="1" applyAlignment="1">
      <alignment horizontal="right" vertical="center" wrapText="1"/>
    </xf>
    <xf numFmtId="4" fontId="6" fillId="0" borderId="0" xfId="0" applyNumberFormat="1" applyFont="1" applyAlignment="1">
      <alignment vertical="center" wrapText="1"/>
    </xf>
    <xf numFmtId="164" fontId="8" fillId="0" borderId="0" xfId="0" applyNumberFormat="1" applyFont="1" applyAlignment="1">
      <alignment horizontal="right" vertical="center" wrapText="1"/>
    </xf>
    <xf numFmtId="4" fontId="6" fillId="0" borderId="0" xfId="0" applyNumberFormat="1" applyFont="1" applyAlignment="1">
      <alignment horizontal="right" vertical="center"/>
    </xf>
    <xf numFmtId="2" fontId="8" fillId="0" borderId="0" xfId="0" applyNumberFormat="1" applyFont="1" applyAlignment="1">
      <alignment vertical="center"/>
    </xf>
    <xf numFmtId="4" fontId="8" fillId="0" borderId="0" xfId="0" applyNumberFormat="1" applyFont="1" applyAlignment="1">
      <alignment vertical="center"/>
    </xf>
    <xf numFmtId="0" fontId="9" fillId="0" borderId="0" xfId="0" applyFont="1" applyAlignment="1">
      <alignment vertical="center"/>
    </xf>
    <xf numFmtId="0" fontId="2" fillId="0" borderId="0" xfId="0" applyFont="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6" fillId="0" borderId="1" xfId="0" applyNumberFormat="1" applyFont="1" applyBorder="1" applyAlignment="1">
      <alignment horizontal="right" vertical="center" wrapText="1"/>
    </xf>
    <xf numFmtId="4" fontId="7" fillId="0" borderId="0" xfId="0" applyNumberFormat="1" applyFont="1" applyAlignment="1">
      <alignment vertical="center"/>
    </xf>
    <xf numFmtId="0" fontId="10" fillId="0" borderId="5"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3" fillId="0" borderId="0" xfId="0" applyFont="1" applyAlignment="1">
      <alignment vertical="center"/>
    </xf>
    <xf numFmtId="0" fontId="3" fillId="0" borderId="13" xfId="0" applyFont="1" applyBorder="1" applyAlignment="1">
      <alignment vertical="center"/>
    </xf>
    <xf numFmtId="0" fontId="16" fillId="0" borderId="0" xfId="0" applyFont="1" applyAlignment="1">
      <alignment horizontal="center"/>
    </xf>
    <xf numFmtId="0" fontId="3" fillId="0" borderId="0" xfId="0" applyFont="1"/>
    <xf numFmtId="0" fontId="17" fillId="0" borderId="0" xfId="0" applyFont="1" applyAlignment="1">
      <alignment horizontal="center" wrapText="1"/>
    </xf>
    <xf numFmtId="0" fontId="16" fillId="0" borderId="0" xfId="0" applyFont="1" applyAlignment="1">
      <alignment horizontal="left"/>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9" xfId="0" applyFont="1" applyFill="1" applyBorder="1" applyAlignment="1">
      <alignment horizontal="center" wrapText="1"/>
    </xf>
    <xf numFmtId="0" fontId="21" fillId="6" borderId="20" xfId="0" applyFont="1" applyFill="1" applyBorder="1" applyAlignment="1">
      <alignment horizontal="center" wrapText="1"/>
    </xf>
    <xf numFmtId="0" fontId="22" fillId="0" borderId="1" xfId="0" applyFont="1" applyBorder="1"/>
    <xf numFmtId="164" fontId="7" fillId="0" borderId="1" xfId="0" applyNumberFormat="1" applyFont="1" applyBorder="1"/>
    <xf numFmtId="10" fontId="23" fillId="0" borderId="1" xfId="0" applyNumberFormat="1" applyFont="1" applyBorder="1"/>
    <xf numFmtId="0" fontId="24" fillId="2" borderId="1" xfId="0" applyFont="1" applyFill="1" applyBorder="1"/>
    <xf numFmtId="164" fontId="25" fillId="2" borderId="1" xfId="0" applyNumberFormat="1" applyFont="1" applyFill="1" applyBorder="1"/>
    <xf numFmtId="10" fontId="26" fillId="2" borderId="1" xfId="0" applyNumberFormat="1" applyFont="1" applyFill="1" applyBorder="1"/>
    <xf numFmtId="0" fontId="7" fillId="0" borderId="0" xfId="0" applyFont="1"/>
    <xf numFmtId="0" fontId="11" fillId="0" borderId="0" xfId="0" applyFont="1"/>
    <xf numFmtId="0" fontId="27" fillId="0" borderId="0" xfId="0" applyFont="1"/>
    <xf numFmtId="0" fontId="10" fillId="0" borderId="5" xfId="0" applyFont="1" applyBorder="1"/>
    <xf numFmtId="0" fontId="11" fillId="0" borderId="5" xfId="0" applyFont="1" applyBorder="1"/>
    <xf numFmtId="0" fontId="11" fillId="0" borderId="21" xfId="0" applyFont="1" applyBorder="1"/>
    <xf numFmtId="0" fontId="10" fillId="0" borderId="0" xfId="0" applyFont="1"/>
    <xf numFmtId="0" fontId="23" fillId="0" borderId="0" xfId="0" applyFont="1" applyAlignment="1"/>
    <xf numFmtId="4" fontId="23" fillId="0" borderId="0" xfId="0" applyNumberFormat="1" applyFont="1" applyAlignment="1"/>
    <xf numFmtId="2" fontId="19" fillId="5" borderId="15" xfId="0" applyNumberFormat="1" applyFont="1" applyFill="1" applyBorder="1" applyAlignment="1">
      <alignment horizontal="left" vertical="center" wrapText="1"/>
    </xf>
    <xf numFmtId="2" fontId="19" fillId="5" borderId="22" xfId="0" applyNumberFormat="1" applyFont="1" applyFill="1" applyBorder="1" applyAlignment="1">
      <alignment horizontal="left" vertical="center" wrapText="1"/>
    </xf>
    <xf numFmtId="2" fontId="19" fillId="5" borderId="0" xfId="0" applyNumberFormat="1" applyFont="1" applyFill="1" applyAlignment="1">
      <alignment horizontal="left" vertical="center" wrapText="1"/>
    </xf>
    <xf numFmtId="0" fontId="31" fillId="7" borderId="0" xfId="0" applyFont="1" applyFill="1" applyAlignment="1">
      <alignment horizontal="center" wrapText="1"/>
    </xf>
    <xf numFmtId="0" fontId="32" fillId="7" borderId="0" xfId="0" applyFont="1" applyFill="1" applyAlignment="1">
      <alignment horizontal="center"/>
    </xf>
    <xf numFmtId="4" fontId="32" fillId="8" borderId="0" xfId="0" applyNumberFormat="1" applyFont="1" applyFill="1" applyAlignment="1">
      <alignment horizontal="center"/>
    </xf>
    <xf numFmtId="4" fontId="20" fillId="8" borderId="0" xfId="0" applyNumberFormat="1" applyFont="1" applyFill="1" applyAlignment="1">
      <alignment horizontal="center" wrapText="1"/>
    </xf>
    <xf numFmtId="4" fontId="32" fillId="8" borderId="0" xfId="0" applyNumberFormat="1" applyFont="1" applyFill="1" applyAlignment="1">
      <alignment horizontal="center" wrapText="1"/>
    </xf>
    <xf numFmtId="0" fontId="35" fillId="0" borderId="1" xfId="0" applyFont="1" applyBorder="1" applyAlignment="1"/>
    <xf numFmtId="4" fontId="23" fillId="0" borderId="1" xfId="0" applyNumberFormat="1" applyFont="1" applyBorder="1" applyAlignment="1"/>
    <xf numFmtId="0" fontId="23" fillId="0" borderId="1" xfId="0" applyFont="1" applyBorder="1"/>
    <xf numFmtId="4" fontId="35" fillId="0" borderId="1" xfId="0" applyNumberFormat="1" applyFont="1" applyBorder="1" applyAlignment="1">
      <alignment horizontal="right"/>
    </xf>
    <xf numFmtId="1" fontId="36" fillId="0" borderId="1" xfId="0" applyNumberFormat="1" applyFont="1" applyBorder="1" applyAlignment="1">
      <alignment wrapText="1"/>
    </xf>
    <xf numFmtId="49" fontId="3" fillId="0" borderId="1" xfId="0" applyNumberFormat="1" applyFont="1" applyBorder="1" applyAlignment="1">
      <alignment horizontal="center" vertical="center" wrapText="1"/>
    </xf>
    <xf numFmtId="1" fontId="23" fillId="0" borderId="1" xfId="0" applyNumberFormat="1" applyFont="1" applyBorder="1" applyAlignment="1"/>
    <xf numFmtId="0" fontId="23" fillId="0" borderId="1" xfId="0" applyFont="1" applyBorder="1" applyAlignment="1"/>
    <xf numFmtId="4" fontId="36" fillId="0" borderId="1" xfId="0" applyNumberFormat="1" applyFont="1" applyBorder="1" applyAlignment="1"/>
    <xf numFmtId="4" fontId="36" fillId="0" borderId="1" xfId="0" applyNumberFormat="1" applyFont="1" applyBorder="1" applyAlignment="1">
      <alignment horizontal="right"/>
    </xf>
    <xf numFmtId="2" fontId="29" fillId="0" borderId="0" xfId="0" applyNumberFormat="1" applyFont="1" applyAlignment="1">
      <alignment horizontal="center" vertical="center"/>
    </xf>
    <xf numFmtId="0" fontId="37" fillId="0" borderId="0" xfId="0" applyFont="1"/>
    <xf numFmtId="0" fontId="38" fillId="0" borderId="0" xfId="0" applyFont="1"/>
    <xf numFmtId="0" fontId="3" fillId="0" borderId="0" xfId="0" applyFont="1" applyAlignment="1">
      <alignment horizontal="center" vertical="center"/>
    </xf>
    <xf numFmtId="4" fontId="3" fillId="0" borderId="0" xfId="0" applyNumberFormat="1" applyFont="1" applyAlignment="1">
      <alignment horizontal="center" vertical="center"/>
    </xf>
    <xf numFmtId="49" fontId="3" fillId="0" borderId="0" xfId="0" applyNumberFormat="1" applyFont="1" applyAlignment="1">
      <alignment horizontal="center" vertical="center"/>
    </xf>
    <xf numFmtId="4" fontId="34" fillId="8" borderId="1" xfId="0" applyNumberFormat="1" applyFont="1" applyFill="1" applyBorder="1"/>
    <xf numFmtId="4" fontId="34" fillId="8" borderId="1" xfId="0" applyNumberFormat="1" applyFont="1" applyFill="1" applyBorder="1" applyAlignment="1">
      <alignment horizontal="center" vertical="center"/>
    </xf>
    <xf numFmtId="49" fontId="34" fillId="8" borderId="1" xfId="0" applyNumberFormat="1" applyFont="1" applyFill="1" applyBorder="1" applyAlignment="1">
      <alignment horizontal="center" vertical="center" wrapText="1"/>
    </xf>
    <xf numFmtId="49" fontId="34" fillId="9"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4" fontId="3" fillId="0" borderId="1" xfId="0" applyNumberFormat="1" applyFont="1" applyBorder="1" applyAlignment="1">
      <alignment vertical="center"/>
    </xf>
    <xf numFmtId="1" fontId="3" fillId="0" borderId="1" xfId="0" applyNumberFormat="1" applyFont="1" applyBorder="1" applyAlignment="1">
      <alignment horizontal="center" vertical="center"/>
    </xf>
    <xf numFmtId="0" fontId="38" fillId="0" borderId="1" xfId="0" applyFont="1" applyBorder="1" applyAlignment="1">
      <alignment vertical="center"/>
    </xf>
    <xf numFmtId="0" fontId="38" fillId="0" borderId="1" xfId="0" applyFont="1" applyBorder="1" applyAlignment="1">
      <alignment vertical="center" wrapText="1"/>
    </xf>
    <xf numFmtId="0" fontId="39" fillId="0" borderId="0" xfId="0" applyFont="1"/>
    <xf numFmtId="0" fontId="37" fillId="0" borderId="0" xfId="0" applyFont="1" applyAlignment="1">
      <alignment horizontal="left"/>
    </xf>
    <xf numFmtId="0" fontId="39" fillId="0" borderId="0" xfId="0" applyFont="1"/>
    <xf numFmtId="4" fontId="32" fillId="7" borderId="0" xfId="0" applyNumberFormat="1" applyFont="1" applyFill="1" applyAlignment="1">
      <alignment horizontal="center" wrapText="1"/>
    </xf>
    <xf numFmtId="4" fontId="32" fillId="7" borderId="0" xfId="0" applyNumberFormat="1" applyFont="1" applyFill="1" applyAlignment="1">
      <alignment horizontal="center"/>
    </xf>
    <xf numFmtId="0" fontId="32" fillId="7" borderId="0" xfId="0" applyFont="1" applyFill="1" applyAlignment="1">
      <alignment horizontal="center"/>
    </xf>
    <xf numFmtId="0" fontId="35" fillId="0" borderId="1" xfId="0" applyFont="1" applyBorder="1" applyAlignment="1">
      <alignment vertical="top" wrapText="1"/>
    </xf>
    <xf numFmtId="4" fontId="35" fillId="0" borderId="1" xfId="0" applyNumberFormat="1" applyFont="1" applyBorder="1" applyAlignment="1"/>
    <xf numFmtId="166" fontId="38" fillId="0" borderId="0" xfId="0" applyNumberFormat="1" applyFont="1"/>
    <xf numFmtId="166" fontId="3" fillId="0" borderId="0" xfId="0" applyNumberFormat="1" applyFont="1" applyAlignment="1">
      <alignment horizontal="center" vertical="center"/>
    </xf>
    <xf numFmtId="166" fontId="34" fillId="9"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vertical="center"/>
    </xf>
    <xf numFmtId="166" fontId="3"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4" fontId="40" fillId="0" borderId="1" xfId="0" applyNumberFormat="1" applyFont="1" applyBorder="1" applyAlignment="1">
      <alignment vertical="center"/>
    </xf>
    <xf numFmtId="0" fontId="27" fillId="11" borderId="1" xfId="0" applyFont="1" applyFill="1" applyBorder="1" applyAlignment="1">
      <alignment vertical="center" wrapText="1"/>
    </xf>
    <xf numFmtId="0" fontId="16" fillId="11" borderId="1" xfId="0" applyFont="1" applyFill="1" applyBorder="1" applyAlignment="1">
      <alignment vertical="center" wrapText="1"/>
    </xf>
    <xf numFmtId="0" fontId="16" fillId="11" borderId="1" xfId="0" applyFont="1" applyFill="1" applyBorder="1" applyAlignment="1">
      <alignment vertical="center"/>
    </xf>
    <xf numFmtId="4" fontId="16" fillId="11" borderId="1" xfId="0" applyNumberFormat="1" applyFont="1" applyFill="1" applyBorder="1" applyAlignment="1">
      <alignment horizontal="center" vertical="center"/>
    </xf>
    <xf numFmtId="1" fontId="16" fillId="11" borderId="1" xfId="0" applyNumberFormat="1" applyFont="1" applyFill="1" applyBorder="1" applyAlignment="1">
      <alignment horizontal="center" vertical="center" wrapText="1"/>
    </xf>
    <xf numFmtId="49" fontId="16" fillId="11" borderId="1" xfId="0" applyNumberFormat="1" applyFont="1" applyFill="1" applyBorder="1" applyAlignment="1">
      <alignment horizontal="center" vertical="center" wrapText="1"/>
    </xf>
    <xf numFmtId="4" fontId="16" fillId="11" borderId="1" xfId="0" applyNumberFormat="1" applyFont="1" applyFill="1" applyBorder="1" applyAlignment="1">
      <alignment vertical="center"/>
    </xf>
    <xf numFmtId="166" fontId="16" fillId="11" borderId="1" xfId="0" applyNumberFormat="1" applyFont="1" applyFill="1" applyBorder="1" applyAlignment="1">
      <alignment horizontal="center" vertical="center"/>
    </xf>
    <xf numFmtId="0" fontId="4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xf numFmtId="4" fontId="3" fillId="0" borderId="1" xfId="0" applyNumberFormat="1" applyFont="1" applyBorder="1" applyAlignment="1">
      <alignment horizontal="center"/>
    </xf>
    <xf numFmtId="1" fontId="3" fillId="0" borderId="1" xfId="0" applyNumberFormat="1" applyFont="1" applyBorder="1" applyAlignment="1">
      <alignment horizontal="center" wrapText="1"/>
    </xf>
    <xf numFmtId="49" fontId="3" fillId="0" borderId="1" xfId="0" applyNumberFormat="1" applyFont="1" applyBorder="1" applyAlignment="1">
      <alignment horizontal="center" wrapText="1"/>
    </xf>
    <xf numFmtId="166" fontId="3" fillId="0" borderId="1" xfId="0" applyNumberFormat="1" applyFont="1" applyBorder="1" applyAlignment="1">
      <alignment horizontal="center"/>
    </xf>
    <xf numFmtId="0" fontId="38" fillId="0" borderId="1" xfId="0" applyFont="1" applyBorder="1"/>
    <xf numFmtId="0" fontId="38" fillId="0" borderId="1" xfId="0" applyFont="1" applyBorder="1" applyAlignment="1">
      <alignment wrapText="1"/>
    </xf>
    <xf numFmtId="0" fontId="0" fillId="0" borderId="0" xfId="0" applyFont="1" applyAlignment="1"/>
    <xf numFmtId="0" fontId="7" fillId="0" borderId="2" xfId="0" applyFont="1" applyBorder="1" applyAlignment="1">
      <alignment vertical="center"/>
    </xf>
    <xf numFmtId="0" fontId="1" fillId="0" borderId="4" xfId="0" applyFont="1" applyBorder="1"/>
    <xf numFmtId="0" fontId="0" fillId="0" borderId="0" xfId="0" applyFont="1" applyAlignment="1"/>
    <xf numFmtId="0" fontId="3" fillId="0" borderId="0" xfId="0" applyFont="1"/>
    <xf numFmtId="0" fontId="48" fillId="0" borderId="9" xfId="0" applyFont="1" applyBorder="1" applyAlignment="1">
      <alignment horizontal="center" vertical="center"/>
    </xf>
    <xf numFmtId="0" fontId="49" fillId="0" borderId="0" xfId="0" applyFont="1" applyAlignment="1">
      <alignment vertical="center"/>
    </xf>
    <xf numFmtId="0" fontId="50" fillId="0" borderId="28" xfId="0" applyFont="1" applyFill="1" applyBorder="1" applyAlignment="1" applyProtection="1">
      <alignment horizontal="left" vertical="justify"/>
    </xf>
    <xf numFmtId="4" fontId="50" fillId="13" borderId="28" xfId="0" applyNumberFormat="1" applyFont="1" applyFill="1" applyBorder="1" applyProtection="1">
      <protection locked="0"/>
    </xf>
    <xf numFmtId="0" fontId="50" fillId="14" borderId="28" xfId="0" applyFont="1" applyFill="1" applyBorder="1" applyAlignment="1" applyProtection="1">
      <alignment horizontal="left" vertical="justify"/>
    </xf>
    <xf numFmtId="4" fontId="50" fillId="14" borderId="28" xfId="0" applyNumberFormat="1" applyFont="1" applyFill="1" applyBorder="1" applyAlignment="1" applyProtection="1">
      <alignment horizontal="left" vertical="justify"/>
    </xf>
    <xf numFmtId="4" fontId="50" fillId="0" borderId="28" xfId="0" applyNumberFormat="1" applyFont="1" applyFill="1" applyBorder="1" applyAlignment="1" applyProtection="1">
      <alignment horizontal="left" vertical="justify"/>
    </xf>
    <xf numFmtId="4" fontId="50" fillId="15" borderId="28" xfId="0" applyNumberFormat="1" applyFont="1" applyFill="1" applyBorder="1" applyAlignment="1" applyProtection="1">
      <alignment horizontal="left" vertical="justify"/>
    </xf>
    <xf numFmtId="0" fontId="51" fillId="0" borderId="2" xfId="0" applyFont="1" applyBorder="1" applyAlignment="1">
      <alignment vertical="center"/>
    </xf>
    <xf numFmtId="0" fontId="51" fillId="0" borderId="2" xfId="0" applyFont="1" applyFill="1" applyBorder="1" applyAlignment="1">
      <alignment vertical="center"/>
    </xf>
    <xf numFmtId="0" fontId="7" fillId="0" borderId="2" xfId="0" applyFont="1" applyFill="1" applyBorder="1" applyAlignment="1">
      <alignment vertical="center"/>
    </xf>
    <xf numFmtId="1" fontId="48" fillId="0" borderId="1" xfId="0" applyNumberFormat="1" applyFont="1" applyBorder="1" applyAlignment="1">
      <alignment horizontal="center"/>
    </xf>
    <xf numFmtId="0" fontId="0" fillId="0" borderId="0" xfId="0" applyFont="1" applyAlignment="1"/>
    <xf numFmtId="0" fontId="0" fillId="0" borderId="0" xfId="0" applyFont="1" applyAlignment="1"/>
    <xf numFmtId="4" fontId="33" fillId="7" borderId="0" xfId="0" applyNumberFormat="1" applyFont="1" applyFill="1" applyAlignment="1">
      <alignment horizontal="center" wrapText="1"/>
    </xf>
    <xf numFmtId="0" fontId="1" fillId="0" borderId="3" xfId="0" applyFont="1" applyBorder="1"/>
    <xf numFmtId="0" fontId="1" fillId="0" borderId="4" xfId="0" applyFont="1" applyBorder="1"/>
    <xf numFmtId="0" fontId="0" fillId="0" borderId="27" xfId="0" applyFont="1" applyBorder="1" applyAlignment="1"/>
    <xf numFmtId="4" fontId="36" fillId="0" borderId="27" xfId="0" applyNumberFormat="1" applyFont="1" applyBorder="1" applyAlignment="1">
      <alignment horizontal="right"/>
    </xf>
    <xf numFmtId="1" fontId="48"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right"/>
    </xf>
    <xf numFmtId="167" fontId="3" fillId="0" borderId="0" xfId="0" applyNumberFormat="1" applyFont="1"/>
    <xf numFmtId="4" fontId="3" fillId="0" borderId="1" xfId="0" applyNumberFormat="1" applyFont="1" applyBorder="1" applyAlignment="1">
      <alignment horizontal="right"/>
    </xf>
    <xf numFmtId="4" fontId="35" fillId="0" borderId="1" xfId="0" applyNumberFormat="1" applyFont="1" applyFill="1" applyBorder="1" applyAlignment="1">
      <alignment horizontal="right"/>
    </xf>
    <xf numFmtId="1" fontId="48" fillId="16" borderId="1" xfId="0" applyNumberFormat="1" applyFont="1" applyFill="1" applyBorder="1" applyAlignment="1">
      <alignment horizontal="center"/>
    </xf>
    <xf numFmtId="49" fontId="3" fillId="16" borderId="1" xfId="0" applyNumberFormat="1" applyFont="1" applyFill="1" applyBorder="1" applyAlignment="1">
      <alignment horizontal="center" vertical="center" wrapText="1"/>
    </xf>
    <xf numFmtId="4" fontId="35" fillId="16" borderId="1" xfId="0" applyNumberFormat="1" applyFont="1" applyFill="1" applyBorder="1" applyAlignment="1">
      <alignment horizontal="right"/>
    </xf>
    <xf numFmtId="4" fontId="23" fillId="16" borderId="1" xfId="0" applyNumberFormat="1" applyFont="1" applyFill="1" applyBorder="1" applyAlignment="1"/>
    <xf numFmtId="0" fontId="23" fillId="16" borderId="1" xfId="0" applyFont="1" applyFill="1" applyBorder="1"/>
    <xf numFmtId="4" fontId="48" fillId="16" borderId="1" xfId="0" applyNumberFormat="1" applyFont="1" applyFill="1" applyBorder="1" applyAlignment="1">
      <alignment horizontal="right"/>
    </xf>
    <xf numFmtId="0" fontId="23" fillId="0" borderId="1" xfId="0" applyFont="1" applyFill="1" applyBorder="1" applyAlignment="1"/>
    <xf numFmtId="0" fontId="35" fillId="0" borderId="1" xfId="0" applyFont="1" applyFill="1" applyBorder="1" applyAlignment="1"/>
    <xf numFmtId="4" fontId="23" fillId="0" borderId="1" xfId="0" applyNumberFormat="1" applyFont="1" applyFill="1" applyBorder="1" applyAlignment="1"/>
    <xf numFmtId="0" fontId="23" fillId="0" borderId="1" xfId="0" applyFont="1" applyFill="1" applyBorder="1"/>
    <xf numFmtId="0" fontId="0" fillId="0" borderId="0" xfId="0" applyFont="1" applyFill="1" applyAlignment="1"/>
    <xf numFmtId="4" fontId="36" fillId="0" borderId="1" xfId="0" applyNumberFormat="1" applyFont="1" applyFill="1" applyBorder="1" applyAlignment="1"/>
    <xf numFmtId="4" fontId="3" fillId="0" borderId="1" xfId="0" applyNumberFormat="1" applyFont="1" applyFill="1" applyBorder="1" applyAlignment="1">
      <alignment horizontal="right"/>
    </xf>
    <xf numFmtId="1" fontId="48" fillId="0" borderId="1" xfId="1" applyNumberFormat="1" applyFont="1" applyFill="1" applyBorder="1" applyAlignment="1">
      <alignment horizontal="center" wrapText="1"/>
    </xf>
    <xf numFmtId="1" fontId="48" fillId="0" borderId="1" xfId="1" applyNumberFormat="1" applyFont="1" applyFill="1" applyBorder="1" applyAlignment="1">
      <alignment horizontal="center"/>
    </xf>
    <xf numFmtId="0" fontId="0" fillId="0" borderId="0" xfId="0" applyFill="1"/>
    <xf numFmtId="0" fontId="23" fillId="0" borderId="20" xfId="0" applyFont="1" applyFill="1" applyBorder="1"/>
    <xf numFmtId="4" fontId="23" fillId="0" borderId="20" xfId="0" applyNumberFormat="1" applyFont="1" applyFill="1" applyBorder="1" applyAlignment="1"/>
    <xf numFmtId="1" fontId="48" fillId="0" borderId="20" xfId="0" applyNumberFormat="1" applyFont="1" applyFill="1" applyBorder="1" applyAlignment="1">
      <alignment horizontal="center"/>
    </xf>
    <xf numFmtId="49" fontId="3" fillId="0" borderId="20" xfId="0" applyNumberFormat="1" applyFont="1" applyFill="1" applyBorder="1" applyAlignment="1">
      <alignment horizontal="center" vertical="center" wrapText="1"/>
    </xf>
    <xf numFmtId="4" fontId="36" fillId="0" borderId="20" xfId="0" applyNumberFormat="1" applyFont="1" applyFill="1" applyBorder="1" applyAlignment="1">
      <alignment horizontal="right"/>
    </xf>
    <xf numFmtId="0" fontId="23" fillId="0" borderId="2" xfId="0" applyFont="1" applyFill="1" applyBorder="1"/>
    <xf numFmtId="0" fontId="23" fillId="0" borderId="28" xfId="0" applyFont="1" applyFill="1" applyBorder="1"/>
    <xf numFmtId="4" fontId="23" fillId="0" borderId="28" xfId="0" applyNumberFormat="1" applyFont="1" applyFill="1" applyBorder="1" applyAlignment="1"/>
    <xf numFmtId="1" fontId="48" fillId="0" borderId="28" xfId="0" applyNumberFormat="1" applyFont="1" applyFill="1" applyBorder="1" applyAlignment="1">
      <alignment horizontal="center"/>
    </xf>
    <xf numFmtId="49" fontId="3" fillId="0" borderId="28" xfId="0" applyNumberFormat="1" applyFont="1" applyFill="1" applyBorder="1" applyAlignment="1">
      <alignment horizontal="center" vertical="center" wrapText="1"/>
    </xf>
    <xf numFmtId="4" fontId="36" fillId="0" borderId="28" xfId="0" applyNumberFormat="1" applyFont="1" applyFill="1" applyBorder="1" applyAlignment="1">
      <alignment horizontal="right"/>
    </xf>
    <xf numFmtId="0" fontId="23" fillId="0" borderId="4" xfId="0" applyFont="1" applyFill="1" applyBorder="1"/>
    <xf numFmtId="4" fontId="23" fillId="0" borderId="27" xfId="0" applyNumberFormat="1" applyFont="1" applyFill="1" applyBorder="1" applyAlignment="1"/>
    <xf numFmtId="0" fontId="0" fillId="0" borderId="27" xfId="0" applyFont="1" applyFill="1" applyBorder="1" applyAlignment="1"/>
    <xf numFmtId="4" fontId="36" fillId="0" borderId="27" xfId="0" applyNumberFormat="1" applyFont="1" applyFill="1" applyBorder="1" applyAlignment="1">
      <alignment horizontal="right"/>
    </xf>
    <xf numFmtId="4" fontId="36" fillId="16" borderId="1" xfId="0" applyNumberFormat="1" applyFont="1" applyFill="1" applyBorder="1" applyAlignment="1">
      <alignment horizontal="right"/>
    </xf>
    <xf numFmtId="1" fontId="48" fillId="16" borderId="1" xfId="1" applyNumberFormat="1" applyFont="1" applyFill="1" applyBorder="1" applyAlignment="1">
      <alignment horizontal="center" wrapText="1"/>
    </xf>
    <xf numFmtId="4" fontId="53" fillId="0" borderId="27" xfId="0" applyNumberFormat="1" applyFont="1" applyFill="1" applyBorder="1" applyAlignment="1"/>
    <xf numFmtId="0" fontId="53" fillId="0" borderId="27" xfId="0" applyFont="1" applyFill="1" applyBorder="1" applyAlignment="1"/>
    <xf numFmtId="4" fontId="54" fillId="0" borderId="27" xfId="0" applyNumberFormat="1" applyFont="1" applyFill="1" applyBorder="1" applyAlignment="1"/>
    <xf numFmtId="4" fontId="23" fillId="0" borderId="1" xfId="0" applyNumberFormat="1" applyFont="1" applyFill="1" applyBorder="1"/>
    <xf numFmtId="4" fontId="23" fillId="16" borderId="1" xfId="0" applyNumberFormat="1" applyFont="1" applyFill="1" applyBorder="1"/>
    <xf numFmtId="4" fontId="48" fillId="0" borderId="27" xfId="0" applyNumberFormat="1" applyFont="1" applyFill="1" applyBorder="1" applyAlignment="1">
      <alignment horizontal="right"/>
    </xf>
    <xf numFmtId="0" fontId="52" fillId="0" borderId="1" xfId="0" applyFont="1" applyFill="1" applyBorder="1"/>
    <xf numFmtId="0" fontId="56" fillId="17" borderId="0" xfId="0" applyFont="1" applyFill="1" applyAlignment="1"/>
    <xf numFmtId="4" fontId="23" fillId="17" borderId="1" xfId="0" applyNumberFormat="1" applyFont="1" applyFill="1" applyBorder="1"/>
    <xf numFmtId="0" fontId="56" fillId="17" borderId="27" xfId="0" applyFont="1" applyFill="1" applyBorder="1" applyAlignment="1"/>
    <xf numFmtId="4" fontId="0" fillId="17" borderId="0" xfId="0" applyNumberFormat="1" applyFont="1" applyFill="1" applyAlignment="1"/>
    <xf numFmtId="4" fontId="48" fillId="0" borderId="1" xfId="0" applyNumberFormat="1" applyFont="1" applyFill="1" applyBorder="1" applyAlignment="1">
      <alignment horizontal="right"/>
    </xf>
    <xf numFmtId="1" fontId="58" fillId="0" borderId="1" xfId="0" applyNumberFormat="1" applyFont="1" applyBorder="1" applyAlignment="1">
      <alignment horizontal="center"/>
    </xf>
    <xf numFmtId="1" fontId="58" fillId="16" borderId="1" xfId="0" applyNumberFormat="1" applyFont="1" applyFill="1" applyBorder="1" applyAlignment="1">
      <alignment horizontal="center"/>
    </xf>
    <xf numFmtId="1" fontId="58" fillId="0" borderId="1" xfId="0" applyNumberFormat="1" applyFont="1" applyFill="1" applyBorder="1" applyAlignment="1">
      <alignment horizontal="center"/>
    </xf>
    <xf numFmtId="0" fontId="58" fillId="0" borderId="1" xfId="0" applyFont="1" applyFill="1" applyBorder="1" applyAlignment="1"/>
    <xf numFmtId="1" fontId="58" fillId="0" borderId="1" xfId="0" applyNumberFormat="1" applyFont="1" applyBorder="1" applyAlignment="1">
      <alignment horizontal="center" vertical="center" wrapText="1"/>
    </xf>
    <xf numFmtId="4" fontId="3" fillId="16" borderId="1" xfId="0" applyNumberFormat="1" applyFont="1" applyFill="1" applyBorder="1" applyAlignment="1">
      <alignment vertical="center"/>
    </xf>
    <xf numFmtId="4" fontId="38" fillId="16" borderId="1" xfId="0" applyNumberFormat="1" applyFont="1" applyFill="1" applyBorder="1" applyAlignment="1">
      <alignment vertical="center"/>
    </xf>
    <xf numFmtId="0" fontId="59" fillId="0" borderId="1" xfId="0" applyFont="1" applyBorder="1" applyAlignment="1">
      <alignment vertical="center" wrapText="1"/>
    </xf>
    <xf numFmtId="1" fontId="3" fillId="16" borderId="1" xfId="0" applyNumberFormat="1" applyFont="1" applyFill="1" applyBorder="1" applyAlignment="1">
      <alignment horizontal="center" vertical="center"/>
    </xf>
    <xf numFmtId="0" fontId="52" fillId="0" borderId="1" xfId="0" applyFont="1" applyFill="1" applyBorder="1" applyAlignment="1">
      <alignment wrapText="1"/>
    </xf>
    <xf numFmtId="0" fontId="23" fillId="0" borderId="1" xfId="0" applyFont="1" applyFill="1" applyBorder="1" applyAlignment="1">
      <alignment wrapText="1"/>
    </xf>
    <xf numFmtId="14" fontId="7" fillId="0" borderId="0" xfId="0" applyNumberFormat="1" applyFont="1" applyAlignment="1">
      <alignment vertical="center"/>
    </xf>
    <xf numFmtId="4" fontId="2" fillId="0" borderId="27" xfId="0" applyNumberFormat="1" applyFont="1" applyFill="1" applyBorder="1" applyAlignment="1">
      <alignment horizontal="right"/>
    </xf>
    <xf numFmtId="4" fontId="35" fillId="18" borderId="1" xfId="0" applyNumberFormat="1" applyFont="1" applyFill="1" applyBorder="1" applyAlignment="1">
      <alignment horizontal="right"/>
    </xf>
    <xf numFmtId="0" fontId="15" fillId="4" borderId="10" xfId="0" applyFont="1" applyFill="1" applyBorder="1" applyAlignment="1">
      <alignment vertical="center"/>
    </xf>
    <xf numFmtId="0" fontId="1" fillId="0" borderId="11" xfId="0" applyFont="1" applyBorder="1"/>
    <xf numFmtId="0" fontId="1" fillId="0" borderId="12" xfId="0" applyFont="1" applyBorder="1"/>
    <xf numFmtId="0" fontId="4" fillId="2" borderId="0" xfId="0" applyFont="1" applyFill="1" applyAlignment="1">
      <alignment horizontal="center" vertical="center"/>
    </xf>
    <xf numFmtId="0" fontId="0" fillId="0" borderId="0" xfId="0" applyFont="1" applyAlignment="1"/>
    <xf numFmtId="0" fontId="5" fillId="2" borderId="0" xfId="0" applyFont="1" applyFill="1" applyAlignment="1">
      <alignment horizontal="center" vertical="center"/>
    </xf>
    <xf numFmtId="0" fontId="12" fillId="2" borderId="0" xfId="0" applyFont="1" applyFill="1" applyAlignment="1">
      <alignment horizontal="left" vertical="center" wrapText="1"/>
    </xf>
    <xf numFmtId="0" fontId="14" fillId="3" borderId="6" xfId="0" applyFont="1" applyFill="1" applyBorder="1"/>
    <xf numFmtId="0" fontId="1" fillId="0" borderId="7" xfId="0" applyFont="1" applyBorder="1"/>
    <xf numFmtId="0" fontId="1" fillId="0" borderId="8" xfId="0" applyFont="1" applyBorder="1"/>
    <xf numFmtId="0" fontId="20" fillId="2" borderId="0" xfId="0" applyFont="1" applyFill="1" applyAlignment="1">
      <alignment horizontal="center" vertical="center" wrapText="1"/>
    </xf>
    <xf numFmtId="0" fontId="3" fillId="0" borderId="0" xfId="0" applyFont="1"/>
    <xf numFmtId="0" fontId="18" fillId="2" borderId="0" xfId="0" applyFont="1" applyFill="1" applyAlignment="1">
      <alignment horizontal="center"/>
    </xf>
    <xf numFmtId="2" fontId="19" fillId="5" borderId="14" xfId="0" applyNumberFormat="1" applyFont="1" applyFill="1" applyBorder="1" applyAlignment="1">
      <alignment horizontal="left" vertical="center" wrapText="1"/>
    </xf>
    <xf numFmtId="0" fontId="1" fillId="0" borderId="15" xfId="0" applyFont="1" applyBorder="1"/>
    <xf numFmtId="0" fontId="1" fillId="0" borderId="16" xfId="0" applyFont="1" applyBorder="1"/>
    <xf numFmtId="0" fontId="32" fillId="8" borderId="0" xfId="0" applyFont="1" applyFill="1" applyAlignment="1">
      <alignment horizontal="center"/>
    </xf>
    <xf numFmtId="49" fontId="34" fillId="8" borderId="20" xfId="0" applyNumberFormat="1" applyFont="1" applyFill="1" applyBorder="1" applyAlignment="1">
      <alignment horizontal="center" vertical="center" wrapText="1"/>
    </xf>
    <xf numFmtId="0" fontId="1" fillId="0" borderId="23" xfId="0" applyFont="1" applyBorder="1"/>
    <xf numFmtId="2" fontId="28" fillId="0" borderId="0" xfId="0" applyNumberFormat="1" applyFont="1" applyAlignment="1">
      <alignment horizontal="center"/>
    </xf>
    <xf numFmtId="2" fontId="29" fillId="0" borderId="0" xfId="0" applyNumberFormat="1" applyFont="1" applyAlignment="1">
      <alignment horizontal="center"/>
    </xf>
    <xf numFmtId="0" fontId="1" fillId="0" borderId="27" xfId="0" applyFont="1" applyBorder="1"/>
    <xf numFmtId="2" fontId="19" fillId="5" borderId="0" xfId="0" applyNumberFormat="1" applyFont="1" applyFill="1" applyAlignment="1">
      <alignment horizontal="left" vertical="center" wrapText="1"/>
    </xf>
    <xf numFmtId="0" fontId="30" fillId="7" borderId="2" xfId="0" applyFont="1" applyFill="1" applyBorder="1" applyAlignment="1">
      <alignment horizontal="center"/>
    </xf>
    <xf numFmtId="0" fontId="1" fillId="0" borderId="3" xfId="0" applyFont="1" applyBorder="1"/>
    <xf numFmtId="0" fontId="1" fillId="0" borderId="4" xfId="0" applyFont="1" applyBorder="1"/>
    <xf numFmtId="4" fontId="33" fillId="7" borderId="0" xfId="0" applyNumberFormat="1" applyFont="1" applyFill="1" applyAlignment="1">
      <alignment horizontal="center" wrapText="1"/>
    </xf>
    <xf numFmtId="4" fontId="32" fillId="8" borderId="0" xfId="0" applyNumberFormat="1" applyFont="1" applyFill="1" applyAlignment="1">
      <alignment horizontal="center"/>
    </xf>
    <xf numFmtId="0" fontId="31" fillId="7" borderId="0" xfId="0" applyFont="1" applyFill="1" applyAlignment="1">
      <alignment horizontal="center" wrapText="1"/>
    </xf>
    <xf numFmtId="0" fontId="32" fillId="7" borderId="0" xfId="0" applyFont="1" applyFill="1" applyAlignment="1">
      <alignment horizontal="center"/>
    </xf>
    <xf numFmtId="0" fontId="34" fillId="6" borderId="20" xfId="0" applyFont="1" applyFill="1" applyBorder="1" applyAlignment="1">
      <alignment horizontal="center" wrapText="1"/>
    </xf>
    <xf numFmtId="4" fontId="34" fillId="9" borderId="2" xfId="0" applyNumberFormat="1" applyFont="1" applyFill="1" applyBorder="1" applyAlignment="1">
      <alignment horizontal="center" vertical="center" wrapText="1"/>
    </xf>
    <xf numFmtId="2" fontId="55" fillId="0" borderId="0" xfId="0" applyNumberFormat="1" applyFont="1" applyAlignment="1">
      <alignment horizontal="center" vertical="center"/>
    </xf>
    <xf numFmtId="2" fontId="29" fillId="0" borderId="0" xfId="0" applyNumberFormat="1" applyFont="1" applyAlignment="1">
      <alignment horizontal="center" vertical="center"/>
    </xf>
    <xf numFmtId="2" fontId="19" fillId="5" borderId="24" xfId="0" applyNumberFormat="1" applyFont="1" applyFill="1" applyBorder="1" applyAlignment="1">
      <alignment horizontal="left" vertical="center" wrapText="1"/>
    </xf>
    <xf numFmtId="0" fontId="1" fillId="0" borderId="25" xfId="0" applyFont="1" applyBorder="1"/>
    <xf numFmtId="0" fontId="20" fillId="6" borderId="20" xfId="0" applyFont="1" applyFill="1" applyBorder="1" applyAlignment="1">
      <alignment horizontal="center" wrapText="1"/>
    </xf>
    <xf numFmtId="0" fontId="34" fillId="6" borderId="20" xfId="0" applyFont="1" applyFill="1" applyBorder="1" applyAlignment="1">
      <alignment horizontal="left"/>
    </xf>
    <xf numFmtId="4" fontId="32" fillId="7" borderId="0" xfId="0" applyNumberFormat="1" applyFont="1" applyFill="1" applyAlignment="1">
      <alignment horizontal="center"/>
    </xf>
    <xf numFmtId="4" fontId="32" fillId="7" borderId="0" xfId="0" applyNumberFormat="1" applyFont="1" applyFill="1" applyAlignment="1">
      <alignment horizontal="center" wrapText="1"/>
    </xf>
    <xf numFmtId="0" fontId="40" fillId="12" borderId="26" xfId="0" applyFont="1" applyFill="1" applyBorder="1" applyAlignment="1">
      <alignment horizontal="center" vertical="center"/>
    </xf>
    <xf numFmtId="0" fontId="40" fillId="12" borderId="24" xfId="0" applyFont="1" applyFill="1" applyBorder="1" applyAlignment="1">
      <alignment horizontal="left"/>
    </xf>
    <xf numFmtId="4" fontId="34" fillId="10" borderId="2" xfId="0" applyNumberFormat="1" applyFont="1" applyFill="1" applyBorder="1" applyAlignment="1">
      <alignment horizontal="center" vertical="center" wrapText="1"/>
    </xf>
  </cellXfs>
  <cellStyles count="3">
    <cellStyle name="Normal" xfId="0" builtinId="0"/>
    <cellStyle name="Normal 2" xfId="2"/>
    <cellStyle name="Normal 4" xfId="1"/>
  </cellStyles>
  <dxfs count="1">
    <dxf>
      <fill>
        <patternFill patternType="solid">
          <fgColor rgb="FFB7E1CD"/>
          <bgColor rgb="FFB7E1CD"/>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showGridLines="0" workbookViewId="0">
      <selection sqref="A1:D52"/>
    </sheetView>
  </sheetViews>
  <sheetFormatPr baseColWidth="10" defaultColWidth="14.42578125" defaultRowHeight="15" customHeight="1" x14ac:dyDescent="0.2"/>
  <cols>
    <col min="1" max="1" width="51" customWidth="1"/>
    <col min="2" max="2" width="25" customWidth="1"/>
    <col min="3" max="3" width="18.7109375" bestFit="1" customWidth="1"/>
    <col min="4" max="4" width="26.5703125" customWidth="1"/>
    <col min="5" max="24" width="11.42578125" customWidth="1"/>
    <col min="25" max="26" width="10.7109375" customWidth="1"/>
  </cols>
  <sheetData>
    <row r="1" spans="1:26" ht="18" x14ac:dyDescent="0.2">
      <c r="A1" s="218" t="s">
        <v>1</v>
      </c>
      <c r="B1" s="219"/>
      <c r="C1" s="219"/>
      <c r="D1" s="219"/>
      <c r="E1" s="2"/>
      <c r="F1" s="2"/>
      <c r="G1" s="2"/>
      <c r="H1" s="2"/>
      <c r="I1" s="2"/>
      <c r="J1" s="2"/>
      <c r="K1" s="2"/>
      <c r="L1" s="2"/>
      <c r="M1" s="2"/>
      <c r="N1" s="2"/>
      <c r="O1" s="2"/>
      <c r="P1" s="2"/>
      <c r="Q1" s="2"/>
      <c r="R1" s="2"/>
      <c r="S1" s="2"/>
      <c r="T1" s="2"/>
      <c r="U1" s="2"/>
      <c r="V1" s="2"/>
      <c r="W1" s="2"/>
      <c r="X1" s="2"/>
      <c r="Y1" s="2"/>
      <c r="Z1" s="2"/>
    </row>
    <row r="2" spans="1:26" ht="18" x14ac:dyDescent="0.2">
      <c r="A2" s="218" t="s">
        <v>200</v>
      </c>
      <c r="B2" s="219"/>
      <c r="C2" s="219"/>
      <c r="D2" s="219"/>
      <c r="E2" s="2"/>
      <c r="F2" s="2"/>
      <c r="G2" s="2"/>
      <c r="H2" s="2"/>
      <c r="I2" s="2"/>
      <c r="J2" s="2"/>
      <c r="K2" s="2"/>
      <c r="L2" s="2"/>
      <c r="M2" s="2"/>
      <c r="N2" s="2"/>
      <c r="O2" s="2"/>
      <c r="P2" s="2"/>
      <c r="Q2" s="2"/>
      <c r="R2" s="2"/>
      <c r="S2" s="2"/>
      <c r="T2" s="2"/>
      <c r="U2" s="2"/>
      <c r="V2" s="2"/>
      <c r="W2" s="2"/>
      <c r="X2" s="2"/>
      <c r="Y2" s="2"/>
      <c r="Z2" s="2"/>
    </row>
    <row r="3" spans="1:26" ht="19.5" customHeight="1" x14ac:dyDescent="0.2">
      <c r="A3" s="218" t="s">
        <v>201</v>
      </c>
      <c r="B3" s="219"/>
      <c r="C3" s="219"/>
      <c r="D3" s="219"/>
      <c r="E3" s="2"/>
      <c r="F3" s="2"/>
      <c r="G3" s="2"/>
      <c r="H3" s="2"/>
      <c r="I3" s="2"/>
      <c r="J3" s="2"/>
      <c r="K3" s="2"/>
      <c r="L3" s="2"/>
      <c r="M3" s="2"/>
      <c r="N3" s="2"/>
      <c r="O3" s="2"/>
      <c r="P3" s="2"/>
      <c r="Q3" s="2"/>
      <c r="R3" s="2"/>
      <c r="S3" s="2"/>
      <c r="T3" s="2"/>
      <c r="U3" s="2"/>
      <c r="V3" s="2"/>
      <c r="W3" s="2"/>
      <c r="X3" s="2"/>
      <c r="Y3" s="2"/>
      <c r="Z3" s="2"/>
    </row>
    <row r="4" spans="1:26" ht="12.75" customHeight="1" x14ac:dyDescent="0.2">
      <c r="A4" s="220" t="s">
        <v>2</v>
      </c>
      <c r="B4" s="219"/>
      <c r="C4" s="219"/>
      <c r="D4" s="219"/>
      <c r="E4" s="2"/>
      <c r="F4" s="2"/>
      <c r="G4" s="2"/>
      <c r="H4" s="2"/>
      <c r="I4" s="2"/>
      <c r="J4" s="2"/>
      <c r="K4" s="2"/>
      <c r="L4" s="2"/>
      <c r="M4" s="2"/>
      <c r="N4" s="2"/>
      <c r="O4" s="2"/>
      <c r="P4" s="2"/>
      <c r="Q4" s="2"/>
      <c r="R4" s="2"/>
      <c r="S4" s="2"/>
      <c r="T4" s="2"/>
      <c r="U4" s="2"/>
      <c r="V4" s="2"/>
      <c r="W4" s="2"/>
      <c r="X4" s="2"/>
      <c r="Y4" s="2"/>
      <c r="Z4" s="2"/>
    </row>
    <row r="5" spans="1:26" ht="12.75" customHeight="1" x14ac:dyDescent="0.2">
      <c r="A5" s="3"/>
      <c r="B5" s="4"/>
      <c r="C5" s="4"/>
      <c r="D5" s="4"/>
      <c r="E5" s="2"/>
      <c r="F5" s="2"/>
      <c r="G5" s="2"/>
      <c r="H5" s="2"/>
      <c r="I5" s="2"/>
      <c r="J5" s="2"/>
      <c r="K5" s="2"/>
      <c r="L5" s="2"/>
      <c r="M5" s="2"/>
      <c r="N5" s="2"/>
      <c r="O5" s="2"/>
      <c r="P5" s="2"/>
      <c r="Q5" s="2"/>
      <c r="R5" s="2"/>
      <c r="S5" s="2"/>
      <c r="T5" s="2"/>
      <c r="U5" s="2"/>
      <c r="V5" s="2"/>
      <c r="W5" s="2"/>
      <c r="X5" s="2"/>
      <c r="Y5" s="2"/>
      <c r="Z5" s="2"/>
    </row>
    <row r="6" spans="1:26" ht="12.75" customHeight="1" x14ac:dyDescent="0.2">
      <c r="A6" s="5"/>
      <c r="B6" s="6"/>
      <c r="C6" s="6" t="s">
        <v>3</v>
      </c>
      <c r="D6" s="6" t="s">
        <v>4</v>
      </c>
      <c r="E6" s="2"/>
      <c r="F6" s="2"/>
      <c r="G6" s="2"/>
      <c r="H6" s="2"/>
      <c r="I6" s="2"/>
      <c r="J6" s="2"/>
      <c r="K6" s="2"/>
      <c r="L6" s="2"/>
      <c r="M6" s="2"/>
      <c r="N6" s="2"/>
      <c r="O6" s="2"/>
      <c r="P6" s="2"/>
      <c r="Q6" s="2"/>
      <c r="R6" s="2"/>
      <c r="S6" s="2"/>
      <c r="T6" s="2"/>
      <c r="U6" s="2"/>
      <c r="V6" s="2"/>
      <c r="W6" s="2"/>
      <c r="X6" s="2"/>
      <c r="Y6" s="2"/>
      <c r="Z6" s="2"/>
    </row>
    <row r="7" spans="1:26" ht="18.75" customHeight="1" x14ac:dyDescent="0.2">
      <c r="A7" s="7"/>
      <c r="B7" s="8"/>
      <c r="C7" s="8"/>
      <c r="D7" s="8"/>
      <c r="E7" s="2"/>
      <c r="F7" s="2"/>
      <c r="G7" s="2"/>
      <c r="H7" s="2"/>
      <c r="I7" s="2"/>
      <c r="J7" s="2"/>
      <c r="K7" s="2"/>
      <c r="L7" s="2"/>
      <c r="M7" s="2"/>
      <c r="N7" s="2"/>
      <c r="O7" s="2"/>
      <c r="P7" s="2"/>
      <c r="Q7" s="2"/>
      <c r="R7" s="2"/>
      <c r="S7" s="2"/>
      <c r="T7" s="2"/>
      <c r="U7" s="2"/>
      <c r="V7" s="2"/>
      <c r="W7" s="2"/>
      <c r="X7" s="2"/>
      <c r="Y7" s="2"/>
      <c r="Z7" s="2"/>
    </row>
    <row r="8" spans="1:26" ht="21.75" customHeight="1" x14ac:dyDescent="0.2">
      <c r="A8" s="7" t="s">
        <v>5</v>
      </c>
      <c r="B8" s="8"/>
      <c r="C8" s="9">
        <v>3393022152.8800001</v>
      </c>
      <c r="D8" s="9">
        <v>3758149671.5900002</v>
      </c>
      <c r="E8" s="2"/>
      <c r="F8" s="2"/>
      <c r="G8" s="2"/>
      <c r="H8" s="2"/>
      <c r="I8" s="2"/>
      <c r="J8" s="2"/>
      <c r="K8" s="2"/>
      <c r="L8" s="2"/>
      <c r="M8" s="2"/>
      <c r="N8" s="2"/>
      <c r="O8" s="2"/>
      <c r="P8" s="2"/>
      <c r="Q8" s="2"/>
      <c r="R8" s="2"/>
      <c r="S8" s="2"/>
      <c r="T8" s="2"/>
      <c r="U8" s="2"/>
      <c r="V8" s="2"/>
      <c r="W8" s="2"/>
      <c r="X8" s="2"/>
      <c r="Y8" s="2"/>
      <c r="Z8" s="2"/>
    </row>
    <row r="9" spans="1:26" ht="12.75" customHeight="1" x14ac:dyDescent="0.2">
      <c r="A9" s="10" t="s">
        <v>6</v>
      </c>
      <c r="B9" s="8"/>
      <c r="C9" s="11"/>
      <c r="D9" s="9"/>
      <c r="E9" s="2"/>
      <c r="F9" s="2"/>
      <c r="G9" s="2"/>
      <c r="H9" s="2"/>
      <c r="I9" s="2"/>
      <c r="J9" s="2"/>
      <c r="K9" s="2"/>
      <c r="L9" s="2"/>
      <c r="M9" s="2"/>
      <c r="N9" s="2"/>
      <c r="O9" s="2"/>
      <c r="P9" s="2"/>
      <c r="Q9" s="2"/>
      <c r="R9" s="2"/>
      <c r="S9" s="2"/>
      <c r="T9" s="2"/>
      <c r="U9" s="2"/>
      <c r="V9" s="2"/>
      <c r="W9" s="2"/>
      <c r="X9" s="2"/>
      <c r="Y9" s="2"/>
      <c r="Z9" s="2"/>
    </row>
    <row r="10" spans="1:26" ht="12.75" customHeight="1" x14ac:dyDescent="0.2">
      <c r="A10" s="5"/>
      <c r="B10" s="8"/>
      <c r="C10" s="11"/>
      <c r="D10" s="9"/>
      <c r="E10" s="2"/>
      <c r="F10" s="2"/>
      <c r="G10" s="2"/>
      <c r="H10" s="2"/>
      <c r="I10" s="2"/>
      <c r="J10" s="2"/>
      <c r="K10" s="2"/>
      <c r="L10" s="2"/>
      <c r="M10" s="2"/>
      <c r="N10" s="2"/>
      <c r="O10" s="2"/>
      <c r="P10" s="2"/>
      <c r="Q10" s="2"/>
      <c r="R10" s="2"/>
      <c r="S10" s="2"/>
      <c r="T10" s="2"/>
      <c r="U10" s="2"/>
      <c r="V10" s="2"/>
      <c r="W10" s="2"/>
      <c r="X10" s="2"/>
      <c r="Y10" s="2"/>
      <c r="Z10" s="2"/>
    </row>
    <row r="11" spans="1:26" ht="16.5" customHeight="1" x14ac:dyDescent="0.2">
      <c r="A11" s="7" t="s">
        <v>7</v>
      </c>
      <c r="B11" s="8"/>
      <c r="C11" s="9">
        <v>3393022152.8800001</v>
      </c>
      <c r="D11" s="9">
        <v>2647876271.5599999</v>
      </c>
      <c r="E11" s="2"/>
      <c r="F11" s="2"/>
      <c r="G11" s="2"/>
      <c r="H11" s="2"/>
      <c r="I11" s="2"/>
      <c r="J11" s="2"/>
      <c r="K11" s="2"/>
      <c r="L11" s="2"/>
      <c r="M11" s="2"/>
      <c r="N11" s="2"/>
      <c r="O11" s="2"/>
      <c r="P11" s="2"/>
      <c r="Q11" s="2"/>
      <c r="R11" s="2"/>
      <c r="S11" s="2"/>
      <c r="T11" s="2"/>
      <c r="U11" s="2"/>
      <c r="V11" s="2"/>
      <c r="W11" s="2"/>
      <c r="X11" s="2"/>
      <c r="Y11" s="2"/>
      <c r="Z11" s="2"/>
    </row>
    <row r="12" spans="1:26" ht="12.75" customHeight="1" x14ac:dyDescent="0.2">
      <c r="A12" s="5"/>
      <c r="B12" s="12"/>
      <c r="C12" s="12" t="s">
        <v>0</v>
      </c>
      <c r="D12" s="8"/>
      <c r="E12" s="2"/>
      <c r="F12" s="2"/>
      <c r="G12" s="2"/>
      <c r="H12" s="2"/>
      <c r="I12" s="2"/>
      <c r="J12" s="2"/>
      <c r="K12" s="2"/>
      <c r="L12" s="2"/>
      <c r="M12" s="2"/>
      <c r="N12" s="2"/>
      <c r="O12" s="2"/>
      <c r="P12" s="2"/>
      <c r="Q12" s="2"/>
      <c r="R12" s="2"/>
      <c r="S12" s="2"/>
      <c r="T12" s="2"/>
      <c r="U12" s="2"/>
      <c r="V12" s="2"/>
      <c r="W12" s="2"/>
      <c r="X12" s="2"/>
      <c r="Y12" s="2"/>
      <c r="Z12" s="2"/>
    </row>
    <row r="13" spans="1:26" ht="18.75" customHeight="1" x14ac:dyDescent="0.2">
      <c r="A13" s="7" t="s">
        <v>8</v>
      </c>
      <c r="B13" s="8"/>
      <c r="C13" s="8"/>
      <c r="D13" s="13">
        <f>D8-D11</f>
        <v>1110273400.0300002</v>
      </c>
      <c r="E13" s="2"/>
      <c r="F13" s="2"/>
      <c r="G13" s="2"/>
      <c r="H13" s="2"/>
      <c r="I13" s="2"/>
      <c r="J13" s="2"/>
      <c r="K13" s="2"/>
      <c r="L13" s="2"/>
      <c r="M13" s="2"/>
      <c r="N13" s="2"/>
      <c r="O13" s="2"/>
      <c r="P13" s="2"/>
      <c r="Q13" s="2"/>
      <c r="R13" s="2"/>
      <c r="S13" s="2"/>
      <c r="T13" s="2"/>
      <c r="U13" s="2"/>
      <c r="V13" s="2"/>
      <c r="W13" s="2"/>
      <c r="X13" s="2"/>
      <c r="Y13" s="2"/>
      <c r="Z13" s="2"/>
    </row>
    <row r="14" spans="1:26" ht="12.75" customHeight="1" x14ac:dyDescent="0.2">
      <c r="A14" s="5"/>
      <c r="B14" s="8"/>
      <c r="C14" s="8"/>
      <c r="D14" s="12" t="s">
        <v>0</v>
      </c>
      <c r="E14" s="2"/>
      <c r="F14" s="2"/>
      <c r="G14" s="2"/>
      <c r="H14" s="2"/>
      <c r="I14" s="2"/>
      <c r="J14" s="2"/>
      <c r="K14" s="2"/>
      <c r="L14" s="2"/>
      <c r="M14" s="2"/>
      <c r="N14" s="2"/>
      <c r="O14" s="2"/>
      <c r="P14" s="2"/>
      <c r="Q14" s="2"/>
      <c r="R14" s="2"/>
      <c r="S14" s="2"/>
      <c r="T14" s="2"/>
      <c r="U14" s="2"/>
      <c r="V14" s="2"/>
      <c r="W14" s="2"/>
      <c r="X14" s="2"/>
      <c r="Y14" s="2"/>
      <c r="Z14" s="2"/>
    </row>
    <row r="15" spans="1:26" ht="18" customHeight="1" x14ac:dyDescent="0.2">
      <c r="A15" s="10" t="s">
        <v>9</v>
      </c>
      <c r="B15" s="8"/>
      <c r="C15" s="8"/>
      <c r="D15" s="9">
        <f>SUM(D22:D52)</f>
        <v>808823526.05035591</v>
      </c>
      <c r="E15" s="2"/>
      <c r="F15" s="2"/>
      <c r="G15" s="2"/>
      <c r="H15" s="2"/>
      <c r="I15" s="2"/>
      <c r="J15" s="2"/>
      <c r="K15" s="2"/>
      <c r="L15" s="2"/>
      <c r="M15" s="2"/>
      <c r="N15" s="2"/>
      <c r="O15" s="2"/>
      <c r="P15" s="2"/>
      <c r="Q15" s="2"/>
      <c r="R15" s="2"/>
      <c r="S15" s="2"/>
      <c r="T15" s="2"/>
      <c r="U15" s="2"/>
      <c r="V15" s="2"/>
      <c r="W15" s="2"/>
      <c r="X15" s="2"/>
      <c r="Y15" s="2"/>
      <c r="Z15" s="2"/>
    </row>
    <row r="16" spans="1:26" ht="12.75" customHeight="1" x14ac:dyDescent="0.2">
      <c r="A16" s="5"/>
      <c r="B16" s="8"/>
      <c r="C16" s="8"/>
      <c r="D16" s="8"/>
      <c r="E16" s="2"/>
      <c r="F16" s="2"/>
      <c r="G16" s="2"/>
      <c r="H16" s="2"/>
      <c r="I16" s="2"/>
      <c r="J16" s="2"/>
      <c r="K16" s="2"/>
      <c r="L16" s="2"/>
      <c r="M16" s="2"/>
      <c r="N16" s="2"/>
      <c r="O16" s="2"/>
      <c r="P16" s="2"/>
      <c r="Q16" s="2"/>
      <c r="R16" s="2"/>
      <c r="S16" s="2"/>
      <c r="T16" s="2"/>
      <c r="U16" s="2"/>
      <c r="V16" s="2"/>
      <c r="W16" s="2"/>
      <c r="X16" s="2"/>
      <c r="Y16" s="2"/>
      <c r="Z16" s="2"/>
    </row>
    <row r="17" spans="1:26" ht="16.5" customHeight="1" x14ac:dyDescent="0.2">
      <c r="A17" s="7" t="s">
        <v>10</v>
      </c>
      <c r="B17" s="8"/>
      <c r="C17" s="8"/>
      <c r="D17" s="13">
        <f>D13-D15</f>
        <v>301449873.9796443</v>
      </c>
      <c r="E17" s="2"/>
      <c r="F17" s="2"/>
      <c r="G17" s="2"/>
      <c r="H17" s="2"/>
      <c r="I17" s="2"/>
      <c r="J17" s="2"/>
      <c r="K17" s="2"/>
      <c r="L17" s="2"/>
      <c r="M17" s="2"/>
      <c r="N17" s="2"/>
      <c r="O17" s="2"/>
      <c r="P17" s="2"/>
      <c r="Q17" s="2"/>
      <c r="R17" s="2"/>
      <c r="S17" s="2"/>
      <c r="T17" s="2"/>
      <c r="U17" s="2"/>
      <c r="V17" s="2"/>
      <c r="W17" s="2"/>
      <c r="X17" s="2"/>
      <c r="Y17" s="2"/>
      <c r="Z17" s="2"/>
    </row>
    <row r="18" spans="1:26" ht="12.75" customHeight="1" x14ac:dyDescent="0.2">
      <c r="A18" s="5"/>
      <c r="B18" s="8"/>
      <c r="C18" s="8"/>
      <c r="D18" s="14"/>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15" t="s">
        <v>11</v>
      </c>
      <c r="B19" s="16"/>
      <c r="C19" s="16"/>
      <c r="D19" s="14"/>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17"/>
      <c r="B20" s="17"/>
      <c r="C20" s="17"/>
      <c r="D20" s="17"/>
      <c r="E20" s="18"/>
      <c r="F20" s="18"/>
      <c r="G20" s="18"/>
      <c r="H20" s="18"/>
      <c r="I20" s="18"/>
      <c r="J20" s="18"/>
      <c r="K20" s="18"/>
      <c r="L20" s="18"/>
      <c r="M20" s="18"/>
      <c r="N20" s="18"/>
      <c r="O20" s="18"/>
      <c r="P20" s="18"/>
      <c r="Q20" s="18"/>
      <c r="R20" s="18"/>
      <c r="S20" s="18"/>
      <c r="T20" s="18"/>
      <c r="U20" s="18"/>
      <c r="V20" s="18"/>
      <c r="W20" s="18"/>
      <c r="X20" s="18"/>
      <c r="Y20" s="2"/>
      <c r="Z20" s="2"/>
    </row>
    <row r="21" spans="1:26" ht="12.75" customHeight="1" x14ac:dyDescent="0.2">
      <c r="A21" s="19" t="s">
        <v>12</v>
      </c>
      <c r="B21" s="19" t="s">
        <v>13</v>
      </c>
      <c r="C21" s="19"/>
      <c r="D21" s="19" t="s">
        <v>14</v>
      </c>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133" t="s">
        <v>223</v>
      </c>
      <c r="B22" s="139" t="s">
        <v>224</v>
      </c>
      <c r="C22" s="128"/>
      <c r="D22" s="134">
        <v>416.24240000000009</v>
      </c>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133" t="s">
        <v>225</v>
      </c>
      <c r="B23" s="139" t="s">
        <v>247</v>
      </c>
      <c r="C23" s="128"/>
      <c r="D23" s="134">
        <v>1338714.8380999994</v>
      </c>
      <c r="E23" s="2"/>
      <c r="F23" s="2"/>
      <c r="G23" s="2"/>
      <c r="H23" s="2"/>
      <c r="I23" s="2"/>
      <c r="J23" s="2"/>
      <c r="K23" s="2"/>
      <c r="L23" s="2"/>
      <c r="M23" s="2"/>
      <c r="N23" s="2"/>
      <c r="O23" s="2"/>
      <c r="P23" s="2"/>
      <c r="Q23" s="2"/>
      <c r="R23" s="2"/>
      <c r="S23" s="2"/>
      <c r="T23" s="2"/>
      <c r="U23" s="2"/>
      <c r="V23" s="2"/>
      <c r="W23" s="2"/>
      <c r="X23" s="2"/>
      <c r="Y23" s="2"/>
      <c r="Z23" s="2"/>
    </row>
    <row r="24" spans="1:26" s="126" customFormat="1" ht="12.75" customHeight="1" x14ac:dyDescent="0.2">
      <c r="A24" s="133" t="s">
        <v>226</v>
      </c>
      <c r="B24" s="127" t="s">
        <v>224</v>
      </c>
      <c r="C24" s="128"/>
      <c r="D24" s="134">
        <v>156.09089999999998</v>
      </c>
      <c r="E24" s="2"/>
      <c r="F24" s="2"/>
      <c r="G24" s="2"/>
      <c r="H24" s="2"/>
      <c r="I24" s="2"/>
      <c r="J24" s="2"/>
      <c r="K24" s="2"/>
      <c r="L24" s="2"/>
      <c r="M24" s="2"/>
      <c r="N24" s="2"/>
      <c r="O24" s="2"/>
      <c r="P24" s="2"/>
      <c r="Q24" s="2"/>
      <c r="R24" s="2"/>
      <c r="S24" s="2"/>
      <c r="T24" s="2"/>
      <c r="U24" s="2"/>
      <c r="V24" s="2"/>
      <c r="W24" s="2"/>
      <c r="X24" s="2"/>
      <c r="Y24" s="2"/>
      <c r="Z24" s="2"/>
    </row>
    <row r="25" spans="1:26" s="126" customFormat="1" ht="12.75" customHeight="1" x14ac:dyDescent="0.2">
      <c r="A25" s="133" t="s">
        <v>227</v>
      </c>
      <c r="B25" s="139" t="s">
        <v>229</v>
      </c>
      <c r="C25" s="128"/>
      <c r="D25" s="134">
        <v>43198327.864</v>
      </c>
      <c r="E25" s="2"/>
      <c r="F25" s="2"/>
      <c r="G25" s="2"/>
      <c r="H25" s="2"/>
      <c r="I25" s="2"/>
      <c r="J25" s="2"/>
      <c r="K25" s="2"/>
      <c r="L25" s="2"/>
      <c r="M25" s="2"/>
      <c r="N25" s="2"/>
      <c r="O25" s="2"/>
      <c r="P25" s="2"/>
      <c r="Q25" s="2"/>
      <c r="R25" s="2"/>
      <c r="S25" s="2"/>
      <c r="T25" s="2"/>
      <c r="U25" s="2"/>
      <c r="V25" s="2"/>
      <c r="W25" s="2"/>
      <c r="X25" s="2"/>
      <c r="Y25" s="2"/>
      <c r="Z25" s="2"/>
    </row>
    <row r="26" spans="1:26" s="126" customFormat="1" ht="12.75" customHeight="1" x14ac:dyDescent="0.2">
      <c r="A26" s="133" t="s">
        <v>228</v>
      </c>
      <c r="B26" s="139" t="s">
        <v>229</v>
      </c>
      <c r="C26" s="128"/>
      <c r="D26" s="134">
        <v>446262.26754999999</v>
      </c>
      <c r="E26" s="2"/>
      <c r="F26" s="2"/>
      <c r="G26" s="2"/>
      <c r="H26" s="2"/>
      <c r="I26" s="2"/>
      <c r="J26" s="2"/>
      <c r="K26" s="2"/>
      <c r="L26" s="2"/>
      <c r="M26" s="2"/>
      <c r="N26" s="2"/>
      <c r="O26" s="2"/>
      <c r="P26" s="2"/>
      <c r="Q26" s="2"/>
      <c r="R26" s="2"/>
      <c r="S26" s="2"/>
      <c r="T26" s="2"/>
      <c r="U26" s="2"/>
      <c r="V26" s="2"/>
      <c r="W26" s="2"/>
      <c r="X26" s="2"/>
      <c r="Y26" s="2"/>
      <c r="Z26" s="2"/>
    </row>
    <row r="27" spans="1:26" s="126" customFormat="1" ht="12.75" customHeight="1" x14ac:dyDescent="0.2">
      <c r="A27" s="133" t="s">
        <v>206</v>
      </c>
      <c r="B27" s="139" t="s">
        <v>239</v>
      </c>
      <c r="C27" s="128"/>
      <c r="D27" s="134">
        <v>12000</v>
      </c>
      <c r="E27" s="2"/>
      <c r="F27" s="2"/>
      <c r="G27" s="2"/>
      <c r="H27" s="2"/>
      <c r="I27" s="2"/>
      <c r="J27" s="2"/>
      <c r="K27" s="2"/>
      <c r="L27" s="2"/>
      <c r="M27" s="2"/>
      <c r="N27" s="2"/>
      <c r="O27" s="2"/>
      <c r="P27" s="2"/>
      <c r="Q27" s="2"/>
      <c r="R27" s="2"/>
      <c r="S27" s="2"/>
      <c r="T27" s="2"/>
      <c r="U27" s="2"/>
      <c r="V27" s="2"/>
      <c r="W27" s="2"/>
      <c r="X27" s="2"/>
      <c r="Y27" s="2"/>
      <c r="Z27" s="2"/>
    </row>
    <row r="28" spans="1:26" s="126" customFormat="1" ht="12.75" customHeight="1" x14ac:dyDescent="0.2">
      <c r="A28" s="135" t="s">
        <v>207</v>
      </c>
      <c r="B28" s="139" t="s">
        <v>240</v>
      </c>
      <c r="C28" s="128"/>
      <c r="D28" s="134">
        <v>8270306.8405560106</v>
      </c>
      <c r="E28" s="2"/>
      <c r="F28" s="2"/>
      <c r="G28" s="2"/>
      <c r="H28" s="2"/>
      <c r="I28" s="2"/>
      <c r="J28" s="2"/>
      <c r="K28" s="2"/>
      <c r="L28" s="2"/>
      <c r="M28" s="2"/>
      <c r="N28" s="2"/>
      <c r="O28" s="2"/>
      <c r="P28" s="2"/>
      <c r="Q28" s="2"/>
      <c r="R28" s="2"/>
      <c r="S28" s="2"/>
      <c r="T28" s="2"/>
      <c r="U28" s="2"/>
      <c r="V28" s="2"/>
      <c r="W28" s="2"/>
      <c r="X28" s="2"/>
      <c r="Y28" s="2"/>
      <c r="Z28" s="2"/>
    </row>
    <row r="29" spans="1:26" s="126" customFormat="1" ht="28.5" x14ac:dyDescent="0.2">
      <c r="A29" s="135" t="s">
        <v>230</v>
      </c>
      <c r="B29" s="139" t="s">
        <v>236</v>
      </c>
      <c r="C29" s="128"/>
      <c r="D29" s="134">
        <v>5400839.9580500005</v>
      </c>
      <c r="E29" s="2"/>
      <c r="F29" s="2"/>
      <c r="G29" s="2"/>
      <c r="H29" s="2"/>
      <c r="I29" s="2"/>
      <c r="J29" s="2"/>
      <c r="K29" s="2"/>
      <c r="L29" s="2"/>
      <c r="M29" s="2"/>
      <c r="N29" s="2"/>
      <c r="O29" s="2"/>
      <c r="P29" s="2"/>
      <c r="Q29" s="2"/>
      <c r="R29" s="2"/>
      <c r="S29" s="2"/>
      <c r="T29" s="2"/>
      <c r="U29" s="2"/>
      <c r="V29" s="2"/>
      <c r="W29" s="2"/>
      <c r="X29" s="2"/>
      <c r="Y29" s="2"/>
      <c r="Z29" s="2"/>
    </row>
    <row r="30" spans="1:26" s="126" customFormat="1" ht="12.75" customHeight="1" x14ac:dyDescent="0.2">
      <c r="A30" s="136" t="s">
        <v>208</v>
      </c>
      <c r="B30" s="139" t="s">
        <v>237</v>
      </c>
      <c r="C30" s="128"/>
      <c r="D30" s="134">
        <v>1924736.7499999998</v>
      </c>
      <c r="E30" s="2"/>
      <c r="F30" s="2"/>
      <c r="G30" s="2"/>
      <c r="H30" s="2"/>
      <c r="I30" s="2"/>
      <c r="J30" s="2"/>
      <c r="K30" s="2"/>
      <c r="L30" s="2"/>
      <c r="M30" s="2"/>
      <c r="N30" s="2"/>
      <c r="O30" s="2"/>
      <c r="P30" s="2"/>
      <c r="Q30" s="2"/>
      <c r="R30" s="2"/>
      <c r="S30" s="2"/>
      <c r="T30" s="2"/>
      <c r="U30" s="2"/>
      <c r="V30" s="2"/>
      <c r="W30" s="2"/>
      <c r="X30" s="2"/>
      <c r="Y30" s="2"/>
      <c r="Z30" s="2"/>
    </row>
    <row r="31" spans="1:26" s="126" customFormat="1" ht="12.75" customHeight="1" x14ac:dyDescent="0.2">
      <c r="A31" s="136" t="s">
        <v>209</v>
      </c>
      <c r="B31" s="140" t="s">
        <v>238</v>
      </c>
      <c r="C31" s="128"/>
      <c r="D31" s="134">
        <v>1214500.0967999995</v>
      </c>
      <c r="E31" s="2"/>
      <c r="F31" s="2"/>
      <c r="G31" s="2"/>
      <c r="H31" s="2"/>
      <c r="I31" s="2"/>
      <c r="J31" s="2"/>
      <c r="K31" s="2"/>
      <c r="L31" s="2"/>
      <c r="M31" s="2"/>
      <c r="N31" s="2"/>
      <c r="O31" s="2"/>
      <c r="P31" s="2"/>
      <c r="Q31" s="2"/>
      <c r="R31" s="2"/>
      <c r="S31" s="2"/>
      <c r="T31" s="2"/>
      <c r="U31" s="2"/>
      <c r="V31" s="2"/>
      <c r="W31" s="2"/>
      <c r="X31" s="2"/>
      <c r="Y31" s="2"/>
      <c r="Z31" s="2"/>
    </row>
    <row r="32" spans="1:26" s="144" customFormat="1" ht="12.75" customHeight="1" x14ac:dyDescent="0.2">
      <c r="A32" s="136" t="s">
        <v>442</v>
      </c>
      <c r="B32" s="139" t="s">
        <v>444</v>
      </c>
      <c r="C32" s="147"/>
      <c r="D32" s="134">
        <v>2805281.46</v>
      </c>
      <c r="E32" s="2"/>
      <c r="F32" s="2"/>
      <c r="G32" s="2"/>
      <c r="H32" s="2"/>
      <c r="I32" s="2"/>
      <c r="J32" s="2"/>
      <c r="K32" s="2"/>
      <c r="L32" s="2"/>
      <c r="M32" s="2"/>
      <c r="N32" s="2"/>
      <c r="O32" s="2"/>
      <c r="P32" s="2"/>
      <c r="Q32" s="2"/>
      <c r="R32" s="2"/>
      <c r="S32" s="2"/>
      <c r="T32" s="2"/>
      <c r="U32" s="2"/>
      <c r="V32" s="2"/>
      <c r="W32" s="2"/>
      <c r="X32" s="2"/>
      <c r="Y32" s="2"/>
      <c r="Z32" s="2"/>
    </row>
    <row r="33" spans="1:26" s="126" customFormat="1" ht="12.75" customHeight="1" x14ac:dyDescent="0.2">
      <c r="A33" s="135" t="s">
        <v>231</v>
      </c>
      <c r="B33" s="127" t="s">
        <v>241</v>
      </c>
      <c r="C33" s="128"/>
      <c r="D33" s="134">
        <v>114671.98700000002</v>
      </c>
      <c r="E33" s="2"/>
      <c r="F33" s="2"/>
      <c r="G33" s="2"/>
      <c r="H33" s="2"/>
      <c r="I33" s="2"/>
      <c r="J33" s="2"/>
      <c r="K33" s="2"/>
      <c r="L33" s="2"/>
      <c r="M33" s="2"/>
      <c r="N33" s="2"/>
      <c r="O33" s="2"/>
      <c r="P33" s="2"/>
      <c r="Q33" s="2"/>
      <c r="R33" s="2"/>
      <c r="S33" s="2"/>
      <c r="T33" s="2"/>
      <c r="U33" s="2"/>
      <c r="V33" s="2"/>
      <c r="W33" s="2"/>
      <c r="X33" s="2"/>
      <c r="Y33" s="2"/>
      <c r="Z33" s="2"/>
    </row>
    <row r="34" spans="1:26" s="126" customFormat="1" ht="12.75" customHeight="1" x14ac:dyDescent="0.2">
      <c r="A34" s="133" t="s">
        <v>232</v>
      </c>
      <c r="B34" s="139" t="s">
        <v>242</v>
      </c>
      <c r="C34" s="128"/>
      <c r="D34" s="134">
        <v>722433.51610000012</v>
      </c>
      <c r="E34" s="2"/>
      <c r="F34" s="2"/>
      <c r="G34" s="2"/>
      <c r="H34" s="2"/>
      <c r="I34" s="2"/>
      <c r="J34" s="2"/>
      <c r="K34" s="2"/>
      <c r="L34" s="2"/>
      <c r="M34" s="2"/>
      <c r="N34" s="2"/>
      <c r="O34" s="2"/>
      <c r="P34" s="2"/>
      <c r="Q34" s="2"/>
      <c r="R34" s="2"/>
      <c r="S34" s="2"/>
      <c r="T34" s="2"/>
      <c r="U34" s="2"/>
      <c r="V34" s="2"/>
      <c r="W34" s="2"/>
      <c r="X34" s="2"/>
      <c r="Y34" s="2"/>
      <c r="Z34" s="2"/>
    </row>
    <row r="35" spans="1:26" s="126" customFormat="1" ht="12.75" customHeight="1" x14ac:dyDescent="0.2">
      <c r="A35" s="137" t="s">
        <v>233</v>
      </c>
      <c r="B35" s="127" t="s">
        <v>243</v>
      </c>
      <c r="C35" s="128"/>
      <c r="D35" s="134">
        <v>1980507.9269000003</v>
      </c>
      <c r="E35" s="2"/>
      <c r="F35" s="2"/>
      <c r="G35" s="2"/>
      <c r="H35" s="2"/>
      <c r="I35" s="2"/>
      <c r="J35" s="2"/>
      <c r="K35" s="2"/>
      <c r="L35" s="2"/>
      <c r="M35" s="2"/>
      <c r="N35" s="2"/>
      <c r="O35" s="2"/>
      <c r="P35" s="2"/>
      <c r="Q35" s="2"/>
      <c r="R35" s="2"/>
      <c r="S35" s="2"/>
      <c r="T35" s="2"/>
      <c r="U35" s="2"/>
      <c r="V35" s="2"/>
      <c r="W35" s="2"/>
      <c r="X35" s="2"/>
      <c r="Y35" s="2"/>
      <c r="Z35" s="2"/>
    </row>
    <row r="36" spans="1:26" s="126" customFormat="1" ht="12.75" customHeight="1" x14ac:dyDescent="0.2">
      <c r="A36" s="137" t="s">
        <v>210</v>
      </c>
      <c r="B36" s="139" t="s">
        <v>244</v>
      </c>
      <c r="C36" s="128"/>
      <c r="D36" s="134">
        <v>300465167.64999998</v>
      </c>
      <c r="E36" s="2"/>
      <c r="F36" s="2"/>
      <c r="G36" s="2"/>
      <c r="H36" s="2"/>
      <c r="I36" s="2"/>
      <c r="J36" s="2"/>
      <c r="K36" s="2"/>
      <c r="L36" s="2"/>
      <c r="M36" s="2"/>
      <c r="N36" s="2"/>
      <c r="O36" s="2"/>
      <c r="P36" s="2"/>
      <c r="Q36" s="2"/>
      <c r="R36" s="2"/>
      <c r="S36" s="2"/>
      <c r="T36" s="2"/>
      <c r="U36" s="2"/>
      <c r="V36" s="2"/>
      <c r="W36" s="2"/>
      <c r="X36" s="2"/>
      <c r="Y36" s="2"/>
      <c r="Z36" s="2"/>
    </row>
    <row r="37" spans="1:26" s="126" customFormat="1" ht="12.75" customHeight="1" x14ac:dyDescent="0.2">
      <c r="A37" s="137" t="s">
        <v>211</v>
      </c>
      <c r="B37" s="127" t="s">
        <v>245</v>
      </c>
      <c r="C37" s="128"/>
      <c r="D37" s="134">
        <v>17851432.27</v>
      </c>
      <c r="E37" s="2"/>
      <c r="F37" s="2"/>
      <c r="G37" s="2"/>
      <c r="H37" s="2"/>
      <c r="I37" s="2"/>
      <c r="J37" s="2"/>
      <c r="K37" s="2"/>
      <c r="L37" s="2"/>
      <c r="M37" s="2"/>
      <c r="N37" s="2"/>
      <c r="O37" s="2"/>
      <c r="P37" s="2"/>
      <c r="Q37" s="2"/>
      <c r="R37" s="2"/>
      <c r="S37" s="2"/>
      <c r="T37" s="2"/>
      <c r="U37" s="2"/>
      <c r="V37" s="2"/>
      <c r="W37" s="2"/>
      <c r="X37" s="2"/>
      <c r="Y37" s="2"/>
      <c r="Z37" s="2"/>
    </row>
    <row r="38" spans="1:26" s="126" customFormat="1" ht="12.75" customHeight="1" x14ac:dyDescent="0.2">
      <c r="A38" s="133" t="s">
        <v>212</v>
      </c>
      <c r="B38" s="127" t="s">
        <v>246</v>
      </c>
      <c r="C38" s="128"/>
      <c r="D38" s="134">
        <v>22266739.329999998</v>
      </c>
      <c r="E38" s="2"/>
      <c r="F38" s="2"/>
      <c r="G38" s="2"/>
      <c r="H38" s="2"/>
      <c r="I38" s="2"/>
      <c r="J38" s="2"/>
      <c r="K38" s="2"/>
      <c r="L38" s="2"/>
      <c r="M38" s="2"/>
      <c r="N38" s="2"/>
      <c r="O38" s="2"/>
      <c r="P38" s="2"/>
      <c r="Q38" s="2"/>
      <c r="R38" s="2"/>
      <c r="S38" s="2"/>
      <c r="T38" s="2"/>
      <c r="U38" s="2"/>
      <c r="V38" s="2"/>
      <c r="W38" s="2"/>
      <c r="X38" s="2"/>
      <c r="Y38" s="2"/>
      <c r="Z38" s="2"/>
    </row>
    <row r="39" spans="1:26" s="126" customFormat="1" ht="12.75" customHeight="1" x14ac:dyDescent="0.2">
      <c r="A39" s="133" t="s">
        <v>213</v>
      </c>
      <c r="B39" s="127" t="s">
        <v>246</v>
      </c>
      <c r="C39" s="128"/>
      <c r="D39" s="134">
        <v>76806539.599999994</v>
      </c>
      <c r="E39" s="2"/>
      <c r="F39" s="2"/>
      <c r="G39" s="2"/>
      <c r="H39" s="2"/>
      <c r="I39" s="2"/>
      <c r="J39" s="2"/>
      <c r="K39" s="2"/>
      <c r="L39" s="2"/>
      <c r="M39" s="2"/>
      <c r="N39" s="2"/>
      <c r="O39" s="2"/>
      <c r="P39" s="2"/>
      <c r="Q39" s="2"/>
      <c r="R39" s="2"/>
      <c r="S39" s="2"/>
      <c r="T39" s="2"/>
      <c r="U39" s="2"/>
      <c r="V39" s="2"/>
      <c r="W39" s="2"/>
      <c r="X39" s="2"/>
      <c r="Y39" s="2"/>
      <c r="Z39" s="2"/>
    </row>
    <row r="40" spans="1:26" s="126" customFormat="1" ht="12.75" customHeight="1" x14ac:dyDescent="0.2">
      <c r="A40" s="133" t="s">
        <v>214</v>
      </c>
      <c r="B40" s="127" t="s">
        <v>246</v>
      </c>
      <c r="C40" s="128"/>
      <c r="D40" s="134">
        <v>17097254.703000002</v>
      </c>
      <c r="E40" s="2"/>
      <c r="F40" s="2"/>
      <c r="G40" s="2"/>
      <c r="H40" s="2"/>
      <c r="I40" s="2"/>
      <c r="J40" s="2"/>
      <c r="K40" s="2"/>
      <c r="L40" s="2"/>
      <c r="M40" s="2"/>
      <c r="N40" s="2"/>
      <c r="O40" s="2"/>
      <c r="P40" s="2"/>
      <c r="Q40" s="2"/>
      <c r="R40" s="2"/>
      <c r="S40" s="2"/>
      <c r="T40" s="2"/>
      <c r="U40" s="2"/>
      <c r="V40" s="2"/>
      <c r="W40" s="2"/>
      <c r="X40" s="2"/>
      <c r="Y40" s="2"/>
      <c r="Z40" s="2"/>
    </row>
    <row r="41" spans="1:26" s="126" customFormat="1" ht="12.75" customHeight="1" x14ac:dyDescent="0.2">
      <c r="A41" s="133" t="s">
        <v>215</v>
      </c>
      <c r="B41" s="127" t="s">
        <v>246</v>
      </c>
      <c r="C41" s="128"/>
      <c r="D41" s="134">
        <v>16923852.288999997</v>
      </c>
      <c r="E41" s="2"/>
      <c r="F41" s="2"/>
      <c r="G41" s="2"/>
      <c r="H41" s="2"/>
      <c r="I41" s="2"/>
      <c r="J41" s="2"/>
      <c r="K41" s="2"/>
      <c r="L41" s="2"/>
      <c r="M41" s="2"/>
      <c r="N41" s="2"/>
      <c r="O41" s="2"/>
      <c r="P41" s="2"/>
      <c r="Q41" s="2"/>
      <c r="R41" s="2"/>
      <c r="S41" s="2"/>
      <c r="T41" s="2"/>
      <c r="U41" s="2"/>
      <c r="V41" s="2"/>
      <c r="W41" s="2"/>
      <c r="X41" s="2"/>
      <c r="Y41" s="2"/>
      <c r="Z41" s="2"/>
    </row>
    <row r="42" spans="1:26" s="126" customFormat="1" ht="12.75" customHeight="1" x14ac:dyDescent="0.2">
      <c r="A42" s="133" t="s">
        <v>216</v>
      </c>
      <c r="B42" s="127" t="s">
        <v>246</v>
      </c>
      <c r="C42" s="128"/>
      <c r="D42" s="134">
        <v>7709694.5099999998</v>
      </c>
      <c r="E42" s="2"/>
      <c r="F42" s="2"/>
      <c r="G42" s="2"/>
      <c r="H42" s="2"/>
      <c r="I42" s="2"/>
      <c r="J42" s="2"/>
      <c r="K42" s="2"/>
      <c r="L42" s="2"/>
      <c r="M42" s="2"/>
      <c r="N42" s="2"/>
      <c r="O42" s="2"/>
      <c r="P42" s="2"/>
      <c r="Q42" s="2"/>
      <c r="R42" s="2"/>
      <c r="S42" s="2"/>
      <c r="T42" s="2"/>
      <c r="U42" s="2"/>
      <c r="V42" s="2"/>
      <c r="W42" s="2"/>
      <c r="X42" s="2"/>
      <c r="Y42" s="2"/>
      <c r="Z42" s="2"/>
    </row>
    <row r="43" spans="1:26" s="126" customFormat="1" ht="12.75" customHeight="1" x14ac:dyDescent="0.2">
      <c r="A43" s="135" t="s">
        <v>217</v>
      </c>
      <c r="B43" s="139" t="s">
        <v>249</v>
      </c>
      <c r="C43" s="128"/>
      <c r="D43" s="134">
        <v>80528023.489999995</v>
      </c>
      <c r="E43" s="2"/>
      <c r="F43" s="2"/>
      <c r="G43" s="2"/>
      <c r="H43" s="2"/>
      <c r="I43" s="2"/>
      <c r="J43" s="2"/>
      <c r="K43" s="2"/>
      <c r="L43" s="2"/>
      <c r="M43" s="2"/>
      <c r="N43" s="2"/>
      <c r="O43" s="2"/>
      <c r="P43" s="2"/>
      <c r="Q43" s="2"/>
      <c r="R43" s="2"/>
      <c r="S43" s="2"/>
      <c r="T43" s="2"/>
      <c r="U43" s="2"/>
      <c r="V43" s="2"/>
      <c r="W43" s="2"/>
      <c r="X43" s="2"/>
      <c r="Y43" s="2"/>
      <c r="Z43" s="2"/>
    </row>
    <row r="44" spans="1:26" s="126" customFormat="1" ht="12.75" customHeight="1" x14ac:dyDescent="0.2">
      <c r="A44" s="135" t="s">
        <v>218</v>
      </c>
      <c r="B44" s="141" t="s">
        <v>248</v>
      </c>
      <c r="C44" s="128"/>
      <c r="D44" s="134">
        <v>48406016</v>
      </c>
      <c r="E44" s="2"/>
      <c r="F44" s="2"/>
      <c r="G44" s="2"/>
      <c r="H44" s="2"/>
      <c r="I44" s="2"/>
      <c r="J44" s="2"/>
      <c r="K44" s="2"/>
      <c r="L44" s="2"/>
      <c r="M44" s="2"/>
      <c r="N44" s="2"/>
      <c r="O44" s="2"/>
      <c r="P44" s="2"/>
      <c r="Q44" s="2"/>
      <c r="R44" s="2"/>
      <c r="S44" s="2"/>
      <c r="T44" s="2"/>
      <c r="U44" s="2"/>
      <c r="V44" s="2"/>
      <c r="W44" s="2"/>
      <c r="X44" s="2"/>
      <c r="Y44" s="2"/>
      <c r="Z44" s="2"/>
    </row>
    <row r="45" spans="1:26" s="126" customFormat="1" ht="28.5" x14ac:dyDescent="0.2">
      <c r="A45" s="138" t="s">
        <v>234</v>
      </c>
      <c r="B45" s="127" t="s">
        <v>235</v>
      </c>
      <c r="C45" s="128"/>
      <c r="D45" s="134">
        <v>55215735.600000001</v>
      </c>
      <c r="E45" s="2"/>
      <c r="F45" s="2"/>
      <c r="G45" s="2"/>
      <c r="H45" s="2"/>
      <c r="I45" s="2"/>
      <c r="J45" s="2"/>
      <c r="K45" s="2"/>
      <c r="L45" s="2"/>
      <c r="M45" s="2"/>
      <c r="N45" s="2"/>
      <c r="O45" s="2"/>
      <c r="P45" s="2"/>
      <c r="Q45" s="2"/>
      <c r="R45" s="2"/>
      <c r="S45" s="2"/>
      <c r="T45" s="2"/>
      <c r="U45" s="2"/>
      <c r="V45" s="2"/>
      <c r="W45" s="2"/>
      <c r="X45" s="2"/>
      <c r="Y45" s="2"/>
      <c r="Z45" s="2"/>
    </row>
    <row r="46" spans="1:26" s="126" customFormat="1" ht="12.75" customHeight="1" x14ac:dyDescent="0.2">
      <c r="A46" s="137" t="s">
        <v>219</v>
      </c>
      <c r="B46" s="140" t="s">
        <v>238</v>
      </c>
      <c r="C46" s="128"/>
      <c r="D46" s="134">
        <v>96335347.920000002</v>
      </c>
      <c r="E46" s="2"/>
      <c r="F46" s="2"/>
      <c r="G46" s="2"/>
      <c r="H46" s="2"/>
      <c r="I46" s="2"/>
      <c r="J46" s="2"/>
      <c r="K46" s="2"/>
      <c r="L46" s="2"/>
      <c r="M46" s="2"/>
      <c r="N46" s="2"/>
      <c r="O46" s="2"/>
      <c r="P46" s="2"/>
      <c r="Q46" s="2"/>
      <c r="R46" s="2"/>
      <c r="S46" s="2"/>
      <c r="T46" s="2"/>
      <c r="U46" s="2"/>
      <c r="V46" s="2"/>
      <c r="W46" s="2"/>
      <c r="X46" s="2"/>
      <c r="Y46" s="2"/>
      <c r="Z46" s="2"/>
    </row>
    <row r="47" spans="1:26" s="126" customFormat="1" ht="12.75" customHeight="1" x14ac:dyDescent="0.2">
      <c r="A47" s="137" t="s">
        <v>220</v>
      </c>
      <c r="B47" s="141"/>
      <c r="C47" s="128"/>
      <c r="D47" s="134">
        <v>18918.490000000002</v>
      </c>
      <c r="E47" s="2"/>
      <c r="F47" s="2"/>
      <c r="G47" s="2"/>
      <c r="H47" s="2"/>
      <c r="I47" s="2"/>
      <c r="J47" s="2"/>
      <c r="K47" s="2"/>
      <c r="L47" s="2"/>
      <c r="M47" s="2"/>
      <c r="N47" s="2"/>
      <c r="O47" s="2"/>
      <c r="P47" s="2"/>
      <c r="Q47" s="2"/>
      <c r="R47" s="2"/>
      <c r="S47" s="2"/>
      <c r="T47" s="2"/>
      <c r="U47" s="2"/>
      <c r="V47" s="2"/>
      <c r="W47" s="2"/>
      <c r="X47" s="2"/>
      <c r="Y47" s="2"/>
      <c r="Z47" s="2"/>
    </row>
    <row r="48" spans="1:26" s="126" customFormat="1" ht="12.75" customHeight="1" x14ac:dyDescent="0.2">
      <c r="A48" s="137" t="s">
        <v>221</v>
      </c>
      <c r="B48" s="141"/>
      <c r="C48" s="128"/>
      <c r="D48" s="134">
        <v>6615.98</v>
      </c>
      <c r="E48" s="2"/>
      <c r="F48" s="2"/>
      <c r="G48" s="2"/>
      <c r="H48" s="2"/>
      <c r="I48" s="2"/>
      <c r="J48" s="2"/>
      <c r="K48" s="2"/>
      <c r="L48" s="2"/>
      <c r="M48" s="2"/>
      <c r="N48" s="2"/>
      <c r="O48" s="2"/>
      <c r="P48" s="2"/>
      <c r="Q48" s="2"/>
      <c r="R48" s="2"/>
      <c r="S48" s="2"/>
      <c r="T48" s="2"/>
      <c r="U48" s="2"/>
      <c r="V48" s="2"/>
      <c r="W48" s="2"/>
      <c r="X48" s="2"/>
      <c r="Y48" s="2"/>
      <c r="Z48" s="2"/>
    </row>
    <row r="49" spans="1:26" ht="28.5" x14ac:dyDescent="0.2">
      <c r="A49" s="137" t="s">
        <v>222</v>
      </c>
      <c r="B49" s="141"/>
      <c r="C49" s="128"/>
      <c r="D49" s="134">
        <v>1763032.38</v>
      </c>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0"/>
      <c r="B50" s="127"/>
      <c r="C50" s="128"/>
      <c r="D50" s="21">
        <v>0</v>
      </c>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0"/>
      <c r="B51" s="127"/>
      <c r="C51" s="128"/>
      <c r="D51" s="21">
        <v>0</v>
      </c>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0"/>
      <c r="B52" s="127"/>
      <c r="C52" s="128"/>
      <c r="D52" s="21">
        <v>0</v>
      </c>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7" t="s">
        <v>15</v>
      </c>
      <c r="B53" s="8"/>
      <c r="C53" s="8"/>
      <c r="D53" s="14"/>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3"/>
      <c r="B54" s="22"/>
      <c r="C54" s="22"/>
      <c r="D54" s="14"/>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3"/>
      <c r="B55" s="4"/>
      <c r="C55" s="4"/>
      <c r="D55" s="4"/>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132" t="s">
        <v>204</v>
      </c>
      <c r="B56" s="4"/>
      <c r="C56" s="4"/>
      <c r="D56" s="4"/>
      <c r="E56" s="2"/>
      <c r="F56" s="2"/>
      <c r="G56" s="2"/>
      <c r="H56" s="2"/>
      <c r="I56" s="2"/>
      <c r="J56" s="2"/>
      <c r="K56" s="2"/>
      <c r="L56" s="2"/>
      <c r="M56" s="2"/>
      <c r="N56" s="2"/>
      <c r="O56" s="2"/>
      <c r="P56" s="2"/>
      <c r="Q56" s="2"/>
      <c r="R56" s="2"/>
      <c r="S56" s="2"/>
      <c r="T56" s="2"/>
      <c r="U56" s="2"/>
      <c r="V56" s="2"/>
      <c r="W56" s="2"/>
      <c r="X56" s="2"/>
      <c r="Y56" s="2"/>
      <c r="Z56" s="2"/>
    </row>
    <row r="57" spans="1:26" ht="15" customHeight="1" x14ac:dyDescent="0.2">
      <c r="A57" s="23" t="s">
        <v>16</v>
      </c>
      <c r="B57" s="4"/>
      <c r="C57" s="4"/>
      <c r="D57" s="23" t="s">
        <v>17</v>
      </c>
      <c r="E57" s="2"/>
      <c r="F57" s="2"/>
      <c r="G57" s="2"/>
      <c r="H57" s="2"/>
      <c r="I57" s="2"/>
      <c r="J57" s="2"/>
      <c r="K57" s="2"/>
      <c r="L57" s="2"/>
      <c r="M57" s="2"/>
      <c r="N57" s="2"/>
      <c r="O57" s="2"/>
      <c r="P57" s="2"/>
      <c r="Q57" s="2"/>
      <c r="R57" s="2"/>
      <c r="S57" s="2"/>
      <c r="T57" s="2"/>
      <c r="U57" s="2"/>
      <c r="V57" s="2"/>
      <c r="W57" s="2"/>
      <c r="X57" s="2"/>
      <c r="Y57" s="2"/>
      <c r="Z57" s="2"/>
    </row>
    <row r="58" spans="1:26" ht="15" customHeight="1" x14ac:dyDescent="0.2">
      <c r="A58" s="24"/>
      <c r="B58" s="4"/>
      <c r="C58" s="4"/>
      <c r="D58" s="4"/>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4"/>
      <c r="B59" s="4"/>
      <c r="C59" s="4"/>
      <c r="D59" s="4"/>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132" t="s">
        <v>205</v>
      </c>
      <c r="B60" s="25"/>
      <c r="C60" s="25"/>
      <c r="D60" s="4"/>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6" t="s">
        <v>18</v>
      </c>
      <c r="B61" s="17"/>
      <c r="C61" s="17"/>
      <c r="D61" s="23" t="s">
        <v>17</v>
      </c>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7" t="s">
        <v>19</v>
      </c>
      <c r="B62" s="4"/>
      <c r="C62" s="4"/>
      <c r="D62" s="4"/>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8"/>
      <c r="B63" s="4"/>
      <c r="C63" s="4"/>
      <c r="D63" s="4"/>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4"/>
      <c r="B64" s="4"/>
      <c r="C64" s="212">
        <v>44752</v>
      </c>
      <c r="D64" s="4"/>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4"/>
      <c r="B65" s="28"/>
      <c r="C65" s="29" t="s">
        <v>20</v>
      </c>
      <c r="D65" s="4"/>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4"/>
      <c r="B66" s="4"/>
      <c r="C66" s="4"/>
      <c r="D66" s="4"/>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4"/>
      <c r="B67" s="4"/>
      <c r="C67" s="4"/>
      <c r="D67" s="4"/>
      <c r="E67" s="2"/>
      <c r="F67" s="2"/>
      <c r="G67" s="2"/>
      <c r="H67" s="2"/>
      <c r="I67" s="2"/>
      <c r="J67" s="2"/>
      <c r="K67" s="2"/>
      <c r="L67" s="2"/>
      <c r="M67" s="2"/>
      <c r="N67" s="2"/>
      <c r="O67" s="2"/>
      <c r="P67" s="2"/>
      <c r="Q67" s="2"/>
      <c r="R67" s="2"/>
      <c r="S67" s="2"/>
      <c r="T67" s="2"/>
      <c r="U67" s="2"/>
      <c r="V67" s="2"/>
      <c r="W67" s="2"/>
      <c r="X67" s="2"/>
      <c r="Y67" s="2"/>
      <c r="Z67" s="2"/>
    </row>
    <row r="68" spans="1:26" ht="30.75" customHeight="1" x14ac:dyDescent="0.2">
      <c r="A68" s="221" t="s">
        <v>202</v>
      </c>
      <c r="B68" s="219"/>
      <c r="C68" s="219"/>
      <c r="D68" s="219"/>
      <c r="E68" s="219"/>
      <c r="G68" s="2"/>
      <c r="H68" s="30"/>
      <c r="I68" s="2"/>
      <c r="J68" s="2"/>
      <c r="K68" s="2"/>
      <c r="L68" s="2"/>
      <c r="M68" s="2"/>
      <c r="N68" s="2"/>
      <c r="O68" s="2"/>
      <c r="P68" s="2"/>
      <c r="Q68" s="2"/>
      <c r="R68" s="2"/>
      <c r="S68" s="2"/>
      <c r="T68" s="2"/>
      <c r="U68" s="2"/>
      <c r="V68" s="2"/>
      <c r="W68" s="2"/>
      <c r="X68" s="2"/>
      <c r="Y68" s="2"/>
      <c r="Z68" s="2"/>
    </row>
    <row r="69" spans="1:26" ht="22.5" customHeight="1" x14ac:dyDescent="0.3">
      <c r="A69" s="222" t="s">
        <v>21</v>
      </c>
      <c r="B69" s="223"/>
      <c r="C69" s="223"/>
      <c r="D69" s="224"/>
      <c r="E69" s="131" t="s">
        <v>203</v>
      </c>
      <c r="F69" s="2"/>
      <c r="G69" s="2"/>
      <c r="H69" s="2"/>
      <c r="I69" s="2"/>
      <c r="J69" s="2"/>
      <c r="K69" s="2"/>
      <c r="L69" s="2"/>
      <c r="M69" s="2"/>
      <c r="N69" s="2"/>
      <c r="O69" s="2"/>
      <c r="P69" s="2"/>
      <c r="Q69" s="2"/>
      <c r="R69" s="2"/>
      <c r="S69" s="2"/>
      <c r="T69" s="2"/>
      <c r="U69" s="2"/>
      <c r="V69" s="2"/>
      <c r="W69" s="2"/>
      <c r="X69" s="2"/>
      <c r="Y69" s="2"/>
      <c r="Z69" s="2"/>
    </row>
    <row r="70" spans="1:26" ht="19.5" customHeight="1" x14ac:dyDescent="0.2">
      <c r="A70" s="215" t="s">
        <v>22</v>
      </c>
      <c r="B70" s="216"/>
      <c r="C70" s="216"/>
      <c r="D70" s="217"/>
      <c r="E70" s="31"/>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C72" s="2"/>
      <c r="D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2.7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2.7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2.7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2.7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2.7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2.7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2.75" customHeight="1"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sheetData>
  <mergeCells count="7">
    <mergeCell ref="A70:D70"/>
    <mergeCell ref="A1:D1"/>
    <mergeCell ref="A2:D2"/>
    <mergeCell ref="A3:D3"/>
    <mergeCell ref="A4:D4"/>
    <mergeCell ref="A68:E68"/>
    <mergeCell ref="A69:D69"/>
  </mergeCells>
  <conditionalFormatting sqref="C76">
    <cfRule type="notContainsBlanks" dxfId="0" priority="1">
      <formula>LEN(TRIM(C76))&gt;0</formula>
    </cfRule>
  </conditionalFormatting>
  <printOptions horizontalCentered="1" verticalCentered="1"/>
  <pageMargins left="0.74803149606299213" right="0.74803149606299213" top="0.51181102362204722" bottom="0.98425196850393704" header="0" footer="0"/>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1"/>
  <sheetViews>
    <sheetView showGridLines="0" workbookViewId="0">
      <selection activeCell="B19" sqref="B19"/>
    </sheetView>
  </sheetViews>
  <sheetFormatPr baseColWidth="10" defaultColWidth="14.42578125" defaultRowHeight="15" customHeight="1" x14ac:dyDescent="0.2"/>
  <cols>
    <col min="1" max="1" width="39.28515625" customWidth="1"/>
    <col min="2" max="2" width="29.28515625" customWidth="1"/>
    <col min="3" max="3" width="25.140625" customWidth="1"/>
    <col min="4" max="4" width="18" customWidth="1"/>
    <col min="5" max="5" width="38.140625" customWidth="1"/>
    <col min="6" max="6" width="11.42578125" customWidth="1"/>
    <col min="7" max="24" width="10.7109375" customWidth="1"/>
  </cols>
  <sheetData>
    <row r="1" spans="1:24" ht="18" x14ac:dyDescent="0.25">
      <c r="A1" s="218" t="s">
        <v>23</v>
      </c>
      <c r="B1" s="219"/>
      <c r="C1" s="219"/>
      <c r="D1" s="219"/>
      <c r="E1" s="32"/>
      <c r="F1" s="32"/>
      <c r="G1" s="33"/>
      <c r="H1" s="33"/>
      <c r="I1" s="33"/>
      <c r="J1" s="33"/>
      <c r="K1" s="33"/>
      <c r="L1" s="33"/>
      <c r="M1" s="33"/>
      <c r="N1" s="33"/>
      <c r="O1" s="33"/>
      <c r="P1" s="33"/>
      <c r="Q1" s="33"/>
      <c r="R1" s="33"/>
      <c r="S1" s="33"/>
      <c r="T1" s="33"/>
      <c r="U1" s="33"/>
      <c r="V1" s="33"/>
      <c r="W1" s="33"/>
      <c r="X1" s="33"/>
    </row>
    <row r="2" spans="1:24" ht="18" x14ac:dyDescent="0.25">
      <c r="A2" s="218" t="s">
        <v>250</v>
      </c>
      <c r="B2" s="219"/>
      <c r="C2" s="219"/>
      <c r="D2" s="219"/>
      <c r="E2" s="34"/>
      <c r="F2" s="32"/>
      <c r="G2" s="33"/>
      <c r="H2" s="33"/>
      <c r="I2" s="33"/>
      <c r="J2" s="33"/>
      <c r="K2" s="33"/>
      <c r="L2" s="33"/>
      <c r="M2" s="33"/>
      <c r="N2" s="33"/>
      <c r="O2" s="33"/>
      <c r="P2" s="33"/>
      <c r="Q2" s="33"/>
      <c r="R2" s="33"/>
      <c r="S2" s="33"/>
      <c r="T2" s="33"/>
      <c r="U2" s="33"/>
      <c r="V2" s="33"/>
      <c r="W2" s="33"/>
      <c r="X2" s="33"/>
    </row>
    <row r="3" spans="1:24" ht="20.25" customHeight="1" x14ac:dyDescent="0.25">
      <c r="A3" s="227" t="s">
        <v>258</v>
      </c>
      <c r="B3" s="219"/>
      <c r="C3" s="219"/>
      <c r="D3" s="219"/>
      <c r="E3" s="35"/>
      <c r="F3" s="35"/>
      <c r="G3" s="33"/>
      <c r="H3" s="33"/>
      <c r="I3" s="33"/>
      <c r="J3" s="33"/>
      <c r="K3" s="33"/>
      <c r="L3" s="33"/>
      <c r="M3" s="33"/>
      <c r="N3" s="33"/>
      <c r="O3" s="33"/>
      <c r="P3" s="33"/>
      <c r="Q3" s="33"/>
      <c r="R3" s="33"/>
      <c r="S3" s="33"/>
      <c r="T3" s="33"/>
      <c r="U3" s="33"/>
      <c r="V3" s="33"/>
      <c r="W3" s="33"/>
      <c r="X3" s="33"/>
    </row>
    <row r="4" spans="1:24" ht="12.75" x14ac:dyDescent="0.2">
      <c r="A4" s="228" t="s">
        <v>259</v>
      </c>
      <c r="B4" s="229"/>
      <c r="C4" s="229"/>
      <c r="D4" s="229"/>
      <c r="E4" s="33"/>
      <c r="F4" s="225" t="s">
        <v>24</v>
      </c>
      <c r="G4" s="219"/>
      <c r="H4" s="219"/>
      <c r="I4" s="219"/>
      <c r="J4" s="33"/>
      <c r="K4" s="33"/>
      <c r="L4" s="33"/>
      <c r="M4" s="33"/>
      <c r="N4" s="33"/>
      <c r="O4" s="33"/>
      <c r="P4" s="33"/>
      <c r="Q4" s="33"/>
      <c r="R4" s="33"/>
      <c r="S4" s="33"/>
      <c r="T4" s="33"/>
      <c r="U4" s="33"/>
      <c r="V4" s="33"/>
      <c r="W4" s="33"/>
      <c r="X4" s="33"/>
    </row>
    <row r="5" spans="1:24" ht="12.75" x14ac:dyDescent="0.2">
      <c r="A5" s="230"/>
      <c r="B5" s="219"/>
      <c r="C5" s="219"/>
      <c r="D5" s="219"/>
      <c r="E5" s="33"/>
      <c r="F5" s="219"/>
      <c r="G5" s="219"/>
      <c r="H5" s="219"/>
      <c r="I5" s="219"/>
      <c r="J5" s="33"/>
      <c r="K5" s="33"/>
      <c r="L5" s="33"/>
      <c r="M5" s="33"/>
      <c r="N5" s="33"/>
      <c r="O5" s="33"/>
      <c r="P5" s="33"/>
      <c r="Q5" s="33"/>
      <c r="R5" s="33"/>
      <c r="S5" s="33"/>
      <c r="T5" s="33"/>
      <c r="U5" s="33"/>
      <c r="V5" s="33"/>
      <c r="W5" s="33"/>
      <c r="X5" s="33"/>
    </row>
    <row r="6" spans="1:24" ht="12.75" x14ac:dyDescent="0.2">
      <c r="A6" s="230"/>
      <c r="B6" s="219"/>
      <c r="C6" s="219"/>
      <c r="D6" s="219"/>
      <c r="E6" s="33"/>
      <c r="F6" s="219"/>
      <c r="G6" s="219"/>
      <c r="H6" s="219"/>
      <c r="I6" s="219"/>
      <c r="J6" s="33"/>
      <c r="K6" s="33"/>
      <c r="L6" s="33"/>
      <c r="M6" s="33"/>
      <c r="N6" s="33"/>
      <c r="O6" s="33"/>
      <c r="P6" s="33"/>
      <c r="Q6" s="33"/>
      <c r="R6" s="33"/>
      <c r="S6" s="33"/>
      <c r="T6" s="33"/>
      <c r="U6" s="33"/>
      <c r="V6" s="33"/>
      <c r="W6" s="33"/>
      <c r="X6" s="33"/>
    </row>
    <row r="7" spans="1:24" ht="12.75" x14ac:dyDescent="0.2">
      <c r="A7" s="230"/>
      <c r="B7" s="219"/>
      <c r="C7" s="219"/>
      <c r="D7" s="219"/>
      <c r="E7" s="33"/>
      <c r="F7" s="219"/>
      <c r="G7" s="219"/>
      <c r="H7" s="219"/>
      <c r="I7" s="219"/>
      <c r="J7" s="33"/>
      <c r="K7" s="33"/>
      <c r="L7" s="33"/>
      <c r="M7" s="33"/>
      <c r="N7" s="33"/>
      <c r="O7" s="33"/>
      <c r="P7" s="33"/>
      <c r="Q7" s="33"/>
      <c r="R7" s="33"/>
      <c r="S7" s="33"/>
      <c r="T7" s="33"/>
      <c r="U7" s="33"/>
      <c r="V7" s="33"/>
      <c r="W7" s="33"/>
      <c r="X7" s="33"/>
    </row>
    <row r="8" spans="1:24" ht="33" customHeight="1" x14ac:dyDescent="0.2">
      <c r="A8" s="36" t="s">
        <v>25</v>
      </c>
      <c r="B8" s="37" t="s">
        <v>257</v>
      </c>
      <c r="C8" s="38" t="s">
        <v>251</v>
      </c>
      <c r="D8" s="39" t="s">
        <v>26</v>
      </c>
      <c r="E8" s="33"/>
      <c r="F8" s="219"/>
      <c r="G8" s="219"/>
      <c r="H8" s="219"/>
      <c r="I8" s="219"/>
      <c r="J8" s="33"/>
      <c r="K8" s="33"/>
      <c r="L8" s="33"/>
      <c r="M8" s="33"/>
      <c r="N8" s="33"/>
      <c r="O8" s="33"/>
      <c r="P8" s="33"/>
      <c r="Q8" s="33"/>
      <c r="R8" s="33"/>
      <c r="S8" s="33"/>
      <c r="T8" s="33"/>
      <c r="U8" s="33"/>
      <c r="V8" s="33"/>
      <c r="W8" s="33"/>
      <c r="X8" s="33"/>
    </row>
    <row r="9" spans="1:24" ht="12.75" customHeight="1" x14ac:dyDescent="0.3">
      <c r="A9" s="40" t="s">
        <v>27</v>
      </c>
      <c r="B9" s="41">
        <f>1063444066.15-430500397.51</f>
        <v>632943668.63999999</v>
      </c>
      <c r="C9" s="41">
        <v>1063444066.15</v>
      </c>
      <c r="D9" s="42">
        <f t="shared" ref="D9:D19" si="0">B9/C9</f>
        <v>0.5951828486207591</v>
      </c>
      <c r="E9" s="33"/>
      <c r="F9" s="219"/>
      <c r="G9" s="219"/>
      <c r="H9" s="219"/>
      <c r="I9" s="219"/>
      <c r="J9" s="33"/>
      <c r="K9" s="33"/>
      <c r="L9" s="33"/>
      <c r="M9" s="33"/>
      <c r="N9" s="33"/>
      <c r="O9" s="33"/>
      <c r="P9" s="33"/>
      <c r="Q9" s="33"/>
      <c r="R9" s="33"/>
      <c r="S9" s="33"/>
      <c r="T9" s="33"/>
      <c r="U9" s="33"/>
      <c r="V9" s="33"/>
      <c r="W9" s="33"/>
      <c r="X9" s="33"/>
    </row>
    <row r="10" spans="1:24" ht="12.75" customHeight="1" x14ac:dyDescent="0.3">
      <c r="A10" s="40" t="s">
        <v>28</v>
      </c>
      <c r="B10" s="41">
        <f>254236014.26-165023509.11</f>
        <v>89212505.149999976</v>
      </c>
      <c r="C10" s="41">
        <v>254236014.25999999</v>
      </c>
      <c r="D10" s="42">
        <f t="shared" si="0"/>
        <v>0.35090427848969058</v>
      </c>
      <c r="E10" s="33"/>
      <c r="F10" s="219"/>
      <c r="G10" s="219"/>
      <c r="H10" s="219"/>
      <c r="I10" s="219"/>
      <c r="J10" s="33"/>
      <c r="K10" s="33"/>
      <c r="L10" s="33"/>
      <c r="M10" s="33"/>
      <c r="N10" s="33"/>
      <c r="O10" s="33"/>
      <c r="P10" s="33"/>
      <c r="Q10" s="33"/>
      <c r="R10" s="33"/>
      <c r="S10" s="33"/>
      <c r="T10" s="33"/>
      <c r="U10" s="33"/>
      <c r="V10" s="33"/>
      <c r="W10" s="33"/>
      <c r="X10" s="33"/>
    </row>
    <row r="11" spans="1:24" ht="12.75" customHeight="1" x14ac:dyDescent="0.3">
      <c r="A11" s="40" t="s">
        <v>29</v>
      </c>
      <c r="B11" s="41">
        <f>723113791.2-259711882</f>
        <v>463401909.20000005</v>
      </c>
      <c r="C11" s="41">
        <v>723113791.20000005</v>
      </c>
      <c r="D11" s="42">
        <f t="shared" si="0"/>
        <v>0.64084230565010969</v>
      </c>
      <c r="E11" s="33"/>
      <c r="F11" s="219"/>
      <c r="G11" s="219"/>
      <c r="H11" s="219"/>
      <c r="I11" s="219"/>
      <c r="J11" s="33"/>
      <c r="K11" s="33"/>
      <c r="L11" s="33"/>
      <c r="M11" s="33"/>
      <c r="N11" s="33"/>
      <c r="O11" s="33"/>
      <c r="P11" s="33"/>
      <c r="Q11" s="33"/>
      <c r="R11" s="33"/>
      <c r="S11" s="33"/>
      <c r="T11" s="33"/>
      <c r="U11" s="33"/>
      <c r="V11" s="33"/>
      <c r="W11" s="33"/>
      <c r="X11" s="33"/>
    </row>
    <row r="12" spans="1:24" ht="12.75" customHeight="1" x14ac:dyDescent="0.3">
      <c r="A12" s="40" t="s">
        <v>30</v>
      </c>
      <c r="B12" s="41">
        <f>167554525.98-70139376.97</f>
        <v>97415149.00999999</v>
      </c>
      <c r="C12" s="41">
        <v>167554525.97999999</v>
      </c>
      <c r="D12" s="42">
        <f t="shared" si="0"/>
        <v>0.58139371909075066</v>
      </c>
      <c r="E12" s="33"/>
      <c r="F12" s="33"/>
      <c r="G12" s="33"/>
      <c r="H12" s="33"/>
      <c r="I12" s="33"/>
      <c r="J12" s="33"/>
      <c r="K12" s="33"/>
      <c r="L12" s="33"/>
      <c r="M12" s="33"/>
      <c r="N12" s="33"/>
      <c r="O12" s="33"/>
      <c r="P12" s="33"/>
      <c r="Q12" s="33"/>
      <c r="R12" s="33"/>
      <c r="S12" s="33"/>
      <c r="T12" s="33"/>
      <c r="U12" s="33"/>
      <c r="V12" s="33"/>
      <c r="W12" s="33"/>
      <c r="X12" s="33"/>
    </row>
    <row r="13" spans="1:24" ht="12.75" customHeight="1" x14ac:dyDescent="0.3">
      <c r="A13" s="40" t="s">
        <v>31</v>
      </c>
      <c r="B13" s="41">
        <f>83829302.09-35269808.91</f>
        <v>48559493.180000007</v>
      </c>
      <c r="C13" s="41">
        <v>83829302.090000004</v>
      </c>
      <c r="D13" s="42">
        <f t="shared" si="0"/>
        <v>0.57926634207053318</v>
      </c>
      <c r="E13" s="33"/>
      <c r="F13" s="33"/>
      <c r="G13" s="33"/>
      <c r="H13" s="33"/>
      <c r="I13" s="33"/>
      <c r="J13" s="33"/>
      <c r="K13" s="33"/>
      <c r="L13" s="33"/>
      <c r="M13" s="33"/>
      <c r="N13" s="33"/>
      <c r="O13" s="33"/>
      <c r="P13" s="33"/>
      <c r="Q13" s="33"/>
      <c r="R13" s="33"/>
      <c r="S13" s="33"/>
      <c r="T13" s="33"/>
      <c r="U13" s="33"/>
      <c r="V13" s="33"/>
      <c r="W13" s="33"/>
      <c r="X13" s="33"/>
    </row>
    <row r="14" spans="1:24" ht="12.75" customHeight="1" x14ac:dyDescent="0.3">
      <c r="A14" s="40" t="s">
        <v>252</v>
      </c>
      <c r="B14" s="41">
        <f>48550925-37647639.54</f>
        <v>10903285.460000001</v>
      </c>
      <c r="C14" s="41">
        <v>48550925</v>
      </c>
      <c r="D14" s="42">
        <f t="shared" si="0"/>
        <v>0.22457420656764007</v>
      </c>
      <c r="E14" s="33"/>
      <c r="F14" s="33"/>
      <c r="G14" s="33"/>
      <c r="H14" s="33"/>
      <c r="I14" s="33"/>
      <c r="J14" s="33"/>
      <c r="K14" s="33"/>
      <c r="L14" s="33"/>
      <c r="M14" s="33"/>
      <c r="N14" s="33"/>
      <c r="O14" s="33"/>
      <c r="P14" s="33"/>
      <c r="Q14" s="33"/>
      <c r="R14" s="33"/>
      <c r="S14" s="33"/>
      <c r="T14" s="33"/>
      <c r="U14" s="33"/>
      <c r="V14" s="33"/>
      <c r="W14" s="33"/>
      <c r="X14" s="33"/>
    </row>
    <row r="15" spans="1:24" ht="12.75" customHeight="1" x14ac:dyDescent="0.3">
      <c r="A15" s="40" t="s">
        <v>253</v>
      </c>
      <c r="B15" s="41">
        <f>56714209-27718714.87</f>
        <v>28995494.129999999</v>
      </c>
      <c r="C15" s="41">
        <v>56714209</v>
      </c>
      <c r="D15" s="42">
        <f t="shared" si="0"/>
        <v>0.51125625555317189</v>
      </c>
      <c r="E15" s="33"/>
      <c r="F15" s="33"/>
      <c r="G15" s="33"/>
      <c r="H15" s="33"/>
      <c r="I15" s="33"/>
      <c r="J15" s="33"/>
      <c r="K15" s="33"/>
      <c r="L15" s="33"/>
      <c r="M15" s="33"/>
      <c r="N15" s="33"/>
      <c r="O15" s="33"/>
      <c r="P15" s="33"/>
      <c r="Q15" s="33"/>
      <c r="R15" s="33"/>
      <c r="S15" s="33"/>
      <c r="T15" s="33"/>
      <c r="U15" s="33"/>
      <c r="V15" s="33"/>
      <c r="W15" s="33"/>
      <c r="X15" s="33"/>
    </row>
    <row r="16" spans="1:24" ht="12.75" customHeight="1" x14ac:dyDescent="0.3">
      <c r="A16" s="40" t="s">
        <v>254</v>
      </c>
      <c r="B16" s="41">
        <v>827292</v>
      </c>
      <c r="C16" s="41">
        <v>827292</v>
      </c>
      <c r="D16" s="42">
        <f t="shared" si="0"/>
        <v>1</v>
      </c>
      <c r="E16" s="33"/>
      <c r="F16" s="33"/>
      <c r="G16" s="33"/>
      <c r="H16" s="33"/>
      <c r="I16" s="33"/>
      <c r="J16" s="33"/>
      <c r="K16" s="33"/>
      <c r="L16" s="33"/>
      <c r="M16" s="33"/>
      <c r="N16" s="33"/>
      <c r="O16" s="33"/>
      <c r="P16" s="33"/>
      <c r="Q16" s="33"/>
      <c r="R16" s="33"/>
      <c r="S16" s="33"/>
      <c r="T16" s="33"/>
      <c r="U16" s="33"/>
      <c r="V16" s="33"/>
      <c r="W16" s="33"/>
      <c r="X16" s="33"/>
    </row>
    <row r="17" spans="1:24" ht="12.75" customHeight="1" x14ac:dyDescent="0.3">
      <c r="A17" s="40" t="s">
        <v>255</v>
      </c>
      <c r="B17" s="41">
        <f>3860362.27-3653857.47</f>
        <v>206504.79999999981</v>
      </c>
      <c r="C17" s="41">
        <v>3860362.27</v>
      </c>
      <c r="D17" s="42">
        <f t="shared" si="0"/>
        <v>5.3493632347618975E-2</v>
      </c>
      <c r="E17" s="33"/>
      <c r="F17" s="33"/>
      <c r="G17" s="33"/>
      <c r="H17" s="33"/>
      <c r="I17" s="33"/>
      <c r="J17" s="33"/>
      <c r="K17" s="33"/>
      <c r="L17" s="33"/>
      <c r="M17" s="33"/>
      <c r="N17" s="33"/>
      <c r="O17" s="33"/>
      <c r="P17" s="33"/>
      <c r="Q17" s="33"/>
      <c r="R17" s="33"/>
      <c r="S17" s="33"/>
      <c r="T17" s="33"/>
      <c r="U17" s="33"/>
      <c r="V17" s="33"/>
      <c r="W17" s="33"/>
      <c r="X17" s="33"/>
    </row>
    <row r="18" spans="1:24" ht="12.75" customHeight="1" x14ac:dyDescent="0.3">
      <c r="A18" s="40" t="s">
        <v>256</v>
      </c>
      <c r="B18" s="41">
        <v>10528.71</v>
      </c>
      <c r="C18" s="41">
        <v>10528.71</v>
      </c>
      <c r="D18" s="42">
        <f t="shared" si="0"/>
        <v>1</v>
      </c>
      <c r="E18" s="33"/>
      <c r="F18" s="33"/>
      <c r="G18" s="33"/>
      <c r="H18" s="33"/>
      <c r="I18" s="33"/>
      <c r="J18" s="33"/>
      <c r="K18" s="33"/>
      <c r="L18" s="33"/>
      <c r="M18" s="33"/>
      <c r="N18" s="33"/>
      <c r="O18" s="33"/>
      <c r="P18" s="33"/>
      <c r="Q18" s="33"/>
      <c r="R18" s="33"/>
      <c r="S18" s="33"/>
      <c r="T18" s="33"/>
      <c r="U18" s="33"/>
      <c r="V18" s="33"/>
      <c r="W18" s="33"/>
      <c r="X18" s="33"/>
    </row>
    <row r="19" spans="1:24" ht="12.75" customHeight="1" x14ac:dyDescent="0.25">
      <c r="A19" s="43" t="s">
        <v>32</v>
      </c>
      <c r="B19" s="44">
        <f>SUM(B9:B18)</f>
        <v>1372475830.2800002</v>
      </c>
      <c r="C19" s="44">
        <f>SUM(C9:C18)</f>
        <v>2402141016.6599998</v>
      </c>
      <c r="D19" s="45">
        <f t="shared" si="0"/>
        <v>0.5713552288401148</v>
      </c>
      <c r="E19" s="153"/>
      <c r="F19" s="33"/>
      <c r="G19" s="33"/>
      <c r="H19" s="33"/>
      <c r="I19" s="33"/>
      <c r="J19" s="33"/>
      <c r="K19" s="33"/>
      <c r="L19" s="33"/>
      <c r="M19" s="33"/>
      <c r="N19" s="33"/>
      <c r="O19" s="33"/>
      <c r="P19" s="33"/>
      <c r="Q19" s="33"/>
      <c r="R19" s="33"/>
      <c r="S19" s="33"/>
      <c r="T19" s="33"/>
      <c r="U19" s="33"/>
      <c r="V19" s="33"/>
      <c r="W19" s="33"/>
      <c r="X19" s="33"/>
    </row>
    <row r="20" spans="1:24" ht="12.75" customHeight="1" x14ac:dyDescent="0.25">
      <c r="A20" s="46"/>
      <c r="B20" s="46"/>
      <c r="C20" s="46"/>
      <c r="D20" s="33"/>
      <c r="E20" s="33"/>
      <c r="F20" s="33"/>
      <c r="G20" s="33"/>
      <c r="H20" s="33"/>
      <c r="I20" s="33"/>
      <c r="J20" s="33"/>
      <c r="K20" s="33"/>
      <c r="L20" s="33"/>
      <c r="M20" s="33"/>
      <c r="N20" s="33"/>
      <c r="O20" s="33"/>
      <c r="P20" s="33"/>
      <c r="Q20" s="33"/>
      <c r="R20" s="33"/>
      <c r="S20" s="33"/>
      <c r="T20" s="33"/>
      <c r="U20" s="33"/>
      <c r="V20" s="33"/>
      <c r="W20" s="33"/>
      <c r="X20" s="33"/>
    </row>
    <row r="21" spans="1:24" s="129" customFormat="1" ht="12.75" customHeight="1" x14ac:dyDescent="0.25">
      <c r="A21" s="46"/>
      <c r="B21" s="46"/>
      <c r="C21" s="46"/>
      <c r="D21" s="130"/>
      <c r="E21" s="130"/>
      <c r="F21" s="130"/>
      <c r="G21" s="130"/>
      <c r="H21" s="130"/>
      <c r="I21" s="130"/>
      <c r="J21" s="130"/>
      <c r="K21" s="130"/>
      <c r="L21" s="130"/>
      <c r="M21" s="130"/>
      <c r="N21" s="130"/>
      <c r="O21" s="130"/>
      <c r="P21" s="130"/>
      <c r="Q21" s="130"/>
      <c r="R21" s="130"/>
      <c r="S21" s="130"/>
      <c r="T21" s="130"/>
      <c r="U21" s="130"/>
      <c r="V21" s="130"/>
      <c r="W21" s="130"/>
      <c r="X21" s="130"/>
    </row>
    <row r="22" spans="1:24" s="129" customFormat="1" ht="12.75" customHeight="1" x14ac:dyDescent="0.25">
      <c r="A22" s="46"/>
      <c r="B22" s="46"/>
      <c r="C22" s="46"/>
      <c r="D22" s="130"/>
      <c r="E22" s="130"/>
      <c r="F22" s="130"/>
      <c r="G22" s="130"/>
      <c r="H22" s="130"/>
      <c r="I22" s="130"/>
      <c r="J22" s="130"/>
      <c r="K22" s="130"/>
      <c r="L22" s="130"/>
      <c r="M22" s="130"/>
      <c r="N22" s="130"/>
      <c r="O22" s="130"/>
      <c r="P22" s="130"/>
      <c r="Q22" s="130"/>
      <c r="R22" s="130"/>
      <c r="S22" s="130"/>
      <c r="T22" s="130"/>
      <c r="U22" s="130"/>
      <c r="V22" s="130"/>
      <c r="W22" s="130"/>
      <c r="X22" s="130"/>
    </row>
    <row r="23" spans="1:24" s="129" customFormat="1" ht="12.75" customHeight="1" x14ac:dyDescent="0.25">
      <c r="A23" s="46"/>
      <c r="B23" s="46"/>
      <c r="C23" s="46"/>
      <c r="D23" s="130"/>
      <c r="E23" s="130"/>
      <c r="F23" s="130"/>
      <c r="G23" s="130"/>
      <c r="H23" s="130"/>
      <c r="I23" s="130"/>
      <c r="J23" s="130"/>
      <c r="K23" s="130"/>
      <c r="L23" s="130"/>
      <c r="M23" s="130"/>
      <c r="N23" s="130"/>
      <c r="O23" s="130"/>
      <c r="P23" s="130"/>
      <c r="Q23" s="130"/>
      <c r="R23" s="130"/>
      <c r="S23" s="130"/>
      <c r="T23" s="130"/>
      <c r="U23" s="130"/>
      <c r="V23" s="130"/>
      <c r="W23" s="130"/>
      <c r="X23" s="130"/>
    </row>
    <row r="24" spans="1:24" s="129" customFormat="1" ht="12.75" customHeight="1" x14ac:dyDescent="0.25">
      <c r="A24" s="46"/>
      <c r="B24" s="46"/>
      <c r="C24" s="46"/>
      <c r="D24" s="130"/>
      <c r="E24" s="130"/>
      <c r="F24" s="130"/>
      <c r="G24" s="130"/>
      <c r="H24" s="130"/>
      <c r="I24" s="130"/>
      <c r="J24" s="130"/>
      <c r="K24" s="130"/>
      <c r="L24" s="130"/>
      <c r="M24" s="130"/>
      <c r="N24" s="130"/>
      <c r="O24" s="130"/>
      <c r="P24" s="130"/>
      <c r="Q24" s="130"/>
      <c r="R24" s="130"/>
      <c r="S24" s="130"/>
      <c r="T24" s="130"/>
      <c r="U24" s="130"/>
      <c r="V24" s="130"/>
      <c r="W24" s="130"/>
      <c r="X24" s="130"/>
    </row>
    <row r="25" spans="1:24" ht="12.75" customHeight="1" x14ac:dyDescent="0.3">
      <c r="A25" s="47" t="s">
        <v>260</v>
      </c>
      <c r="B25" s="47"/>
      <c r="C25" s="47"/>
      <c r="D25" s="48"/>
      <c r="E25" s="33"/>
      <c r="F25" s="33"/>
      <c r="G25" s="33"/>
      <c r="H25" s="33"/>
      <c r="I25" s="33"/>
      <c r="J25" s="33"/>
      <c r="K25" s="33"/>
      <c r="L25" s="33"/>
      <c r="M25" s="33"/>
      <c r="N25" s="33"/>
      <c r="O25" s="33"/>
      <c r="P25" s="33"/>
      <c r="Q25" s="33"/>
      <c r="R25" s="33"/>
      <c r="S25" s="33"/>
      <c r="T25" s="33"/>
      <c r="U25" s="33"/>
      <c r="V25" s="33"/>
      <c r="W25" s="33"/>
      <c r="X25" s="33"/>
    </row>
    <row r="26" spans="1:24" ht="12.75" customHeight="1" x14ac:dyDescent="0.3">
      <c r="A26" s="49" t="s">
        <v>33</v>
      </c>
      <c r="B26" s="50"/>
      <c r="C26" s="49" t="s">
        <v>17</v>
      </c>
      <c r="D26" s="48"/>
      <c r="E26" s="33"/>
      <c r="F26" s="33"/>
      <c r="G26" s="33"/>
      <c r="H26" s="33"/>
      <c r="I26" s="33"/>
      <c r="J26" s="33"/>
      <c r="K26" s="33"/>
      <c r="L26" s="33"/>
      <c r="M26" s="33"/>
      <c r="N26" s="33"/>
      <c r="O26" s="33"/>
      <c r="P26" s="33"/>
      <c r="Q26" s="33"/>
      <c r="R26" s="33"/>
      <c r="S26" s="33"/>
      <c r="T26" s="33"/>
      <c r="U26" s="33"/>
      <c r="V26" s="33"/>
      <c r="W26" s="33"/>
      <c r="X26" s="33"/>
    </row>
    <row r="27" spans="1:24" ht="12.75" customHeight="1" x14ac:dyDescent="0.3">
      <c r="A27" s="47"/>
      <c r="B27" s="47"/>
      <c r="C27" s="47"/>
      <c r="D27" s="48"/>
      <c r="E27" s="33"/>
      <c r="F27" s="33"/>
      <c r="G27" s="33"/>
      <c r="H27" s="33"/>
      <c r="I27" s="33"/>
      <c r="J27" s="33"/>
      <c r="K27" s="33"/>
      <c r="L27" s="33"/>
      <c r="M27" s="33"/>
      <c r="N27" s="33"/>
      <c r="O27" s="33"/>
      <c r="P27" s="33"/>
      <c r="Q27" s="33"/>
      <c r="R27" s="33"/>
      <c r="S27" s="33"/>
      <c r="T27" s="33"/>
      <c r="U27" s="33"/>
      <c r="V27" s="33"/>
      <c r="W27" s="33"/>
      <c r="X27" s="33"/>
    </row>
    <row r="28" spans="1:24" ht="12.75" customHeight="1" x14ac:dyDescent="0.3">
      <c r="A28" s="47"/>
      <c r="B28" s="47"/>
      <c r="C28" s="47"/>
      <c r="D28" s="48"/>
      <c r="E28" s="33"/>
      <c r="F28" s="33"/>
      <c r="G28" s="33"/>
      <c r="H28" s="33"/>
      <c r="I28" s="33"/>
      <c r="J28" s="33"/>
      <c r="K28" s="33"/>
      <c r="L28" s="33"/>
      <c r="M28" s="33"/>
      <c r="N28" s="33"/>
      <c r="O28" s="33"/>
      <c r="P28" s="33"/>
      <c r="Q28" s="33"/>
      <c r="R28" s="33"/>
      <c r="S28" s="33"/>
      <c r="T28" s="33"/>
      <c r="U28" s="33"/>
      <c r="V28" s="33"/>
      <c r="W28" s="33"/>
      <c r="X28" s="33"/>
    </row>
    <row r="29" spans="1:24" ht="12.75" customHeight="1" x14ac:dyDescent="0.3">
      <c r="A29" s="51" t="s">
        <v>261</v>
      </c>
      <c r="B29" s="51"/>
      <c r="C29" s="47"/>
      <c r="D29" s="48"/>
      <c r="E29" s="33"/>
      <c r="F29" s="33"/>
      <c r="G29" s="33"/>
      <c r="H29" s="33"/>
      <c r="I29" s="33"/>
      <c r="J29" s="33"/>
      <c r="K29" s="33"/>
      <c r="L29" s="33"/>
      <c r="M29" s="33"/>
      <c r="N29" s="33"/>
      <c r="O29" s="33"/>
      <c r="P29" s="33"/>
      <c r="Q29" s="33"/>
      <c r="R29" s="33"/>
      <c r="S29" s="33"/>
      <c r="T29" s="33"/>
      <c r="U29" s="33"/>
      <c r="V29" s="33"/>
      <c r="W29" s="33"/>
      <c r="X29" s="33"/>
    </row>
    <row r="30" spans="1:24" ht="12.75" customHeight="1" x14ac:dyDescent="0.3">
      <c r="A30" s="52" t="s">
        <v>34</v>
      </c>
      <c r="B30" s="47"/>
      <c r="C30" s="49" t="s">
        <v>20</v>
      </c>
      <c r="D30" s="48"/>
      <c r="E30" s="33"/>
      <c r="F30" s="33"/>
      <c r="G30" s="33"/>
      <c r="H30" s="33"/>
      <c r="I30" s="33"/>
      <c r="J30" s="33"/>
      <c r="K30" s="33"/>
      <c r="L30" s="33"/>
      <c r="M30" s="33"/>
      <c r="N30" s="33"/>
      <c r="O30" s="33"/>
      <c r="P30" s="33"/>
      <c r="Q30" s="33"/>
      <c r="R30" s="33"/>
      <c r="S30" s="33"/>
      <c r="T30" s="33"/>
      <c r="U30" s="33"/>
      <c r="V30" s="33"/>
      <c r="W30" s="33"/>
      <c r="X30" s="33"/>
    </row>
    <row r="31" spans="1:24" ht="12.75" customHeight="1" x14ac:dyDescent="0.3">
      <c r="A31" s="47"/>
      <c r="B31" s="47"/>
      <c r="C31" s="47"/>
      <c r="D31" s="48"/>
      <c r="E31" s="33"/>
      <c r="F31" s="33"/>
      <c r="G31" s="33"/>
      <c r="H31" s="33"/>
      <c r="I31" s="33"/>
      <c r="J31" s="33"/>
      <c r="K31" s="33"/>
      <c r="L31" s="33"/>
      <c r="M31" s="33"/>
      <c r="N31" s="33"/>
      <c r="O31" s="33"/>
      <c r="P31" s="33"/>
      <c r="Q31" s="33"/>
      <c r="R31" s="33"/>
      <c r="S31" s="33"/>
      <c r="T31" s="33"/>
      <c r="U31" s="33"/>
      <c r="V31" s="33"/>
      <c r="W31" s="33"/>
      <c r="X31" s="33"/>
    </row>
    <row r="32" spans="1:24" ht="12.75" customHeight="1" x14ac:dyDescent="0.2">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12.75" customHeight="1" x14ac:dyDescent="0.2">
      <c r="A33" s="226"/>
      <c r="B33" s="219"/>
      <c r="C33" s="219"/>
      <c r="D33" s="219"/>
      <c r="E33" s="33"/>
      <c r="F33" s="33"/>
      <c r="G33" s="33"/>
      <c r="H33" s="33"/>
      <c r="I33" s="33"/>
      <c r="J33" s="33"/>
      <c r="K33" s="33"/>
      <c r="L33" s="33"/>
      <c r="M33" s="33"/>
      <c r="N33" s="33"/>
      <c r="O33" s="33"/>
      <c r="P33" s="33"/>
      <c r="Q33" s="33"/>
      <c r="R33" s="33"/>
      <c r="S33" s="33"/>
      <c r="T33" s="33"/>
      <c r="U33" s="33"/>
      <c r="V33" s="33"/>
      <c r="W33" s="33"/>
      <c r="X33" s="33"/>
    </row>
    <row r="34" spans="1:24" ht="12.75" customHeight="1" x14ac:dyDescent="0.2">
      <c r="A34" s="219"/>
      <c r="B34" s="219"/>
      <c r="C34" s="219"/>
      <c r="D34" s="219"/>
      <c r="E34" s="33"/>
      <c r="F34" s="33"/>
      <c r="G34" s="33"/>
      <c r="H34" s="33"/>
      <c r="I34" s="33"/>
      <c r="J34" s="33"/>
      <c r="K34" s="33"/>
      <c r="L34" s="33"/>
      <c r="M34" s="33"/>
      <c r="N34" s="33"/>
      <c r="O34" s="33"/>
      <c r="P34" s="33"/>
      <c r="Q34" s="33"/>
      <c r="R34" s="33"/>
      <c r="S34" s="33"/>
      <c r="T34" s="33"/>
      <c r="U34" s="33"/>
      <c r="V34" s="33"/>
      <c r="W34" s="33"/>
      <c r="X34" s="33"/>
    </row>
    <row r="35" spans="1:24" ht="12.75" customHeight="1" x14ac:dyDescent="0.2">
      <c r="A35" s="219"/>
      <c r="B35" s="219"/>
      <c r="C35" s="219"/>
      <c r="D35" s="219"/>
      <c r="E35" s="33"/>
      <c r="F35" s="33"/>
      <c r="G35" s="33"/>
      <c r="H35" s="33"/>
      <c r="I35" s="33"/>
      <c r="J35" s="33"/>
      <c r="K35" s="33"/>
      <c r="L35" s="33"/>
      <c r="M35" s="33"/>
      <c r="N35" s="33"/>
      <c r="O35" s="33"/>
      <c r="P35" s="33"/>
      <c r="Q35" s="33"/>
      <c r="R35" s="33"/>
      <c r="S35" s="33"/>
      <c r="T35" s="33"/>
      <c r="U35" s="33"/>
      <c r="V35" s="33"/>
      <c r="W35" s="33"/>
      <c r="X35" s="33"/>
    </row>
    <row r="36" spans="1:24" ht="12.75" customHeight="1" x14ac:dyDescent="0.2">
      <c r="A36" s="219"/>
      <c r="B36" s="219"/>
      <c r="C36" s="219"/>
      <c r="D36" s="219"/>
      <c r="E36" s="33"/>
      <c r="F36" s="33"/>
      <c r="G36" s="33"/>
      <c r="H36" s="33"/>
      <c r="I36" s="33"/>
      <c r="J36" s="33"/>
      <c r="K36" s="33"/>
      <c r="L36" s="33"/>
      <c r="M36" s="33"/>
      <c r="N36" s="33"/>
      <c r="O36" s="33"/>
      <c r="P36" s="33"/>
      <c r="Q36" s="33"/>
      <c r="R36" s="33"/>
      <c r="S36" s="33"/>
      <c r="T36" s="33"/>
      <c r="U36" s="33"/>
      <c r="V36" s="33"/>
      <c r="W36" s="33"/>
      <c r="X36" s="33"/>
    </row>
    <row r="37" spans="1:24" ht="12.75" customHeight="1" x14ac:dyDescent="0.2">
      <c r="E37" s="33"/>
      <c r="F37" s="33"/>
      <c r="G37" s="33"/>
      <c r="H37" s="33"/>
      <c r="I37" s="33"/>
      <c r="J37" s="33"/>
      <c r="K37" s="33"/>
      <c r="L37" s="33"/>
      <c r="M37" s="33"/>
      <c r="N37" s="33"/>
      <c r="O37" s="33"/>
      <c r="P37" s="33"/>
      <c r="Q37" s="33"/>
      <c r="R37" s="33"/>
      <c r="S37" s="33"/>
      <c r="T37" s="33"/>
      <c r="U37" s="33"/>
      <c r="V37" s="33"/>
      <c r="W37" s="33"/>
      <c r="X37" s="33"/>
    </row>
    <row r="38" spans="1:24" ht="12.75" customHeight="1"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row>
    <row r="39" spans="1:24" ht="12.75"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row>
    <row r="40" spans="1:24" ht="12.75"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row>
    <row r="41" spans="1:24"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row>
    <row r="42" spans="1:24" ht="12.75"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row>
    <row r="43" spans="1:24"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row>
    <row r="44" spans="1:24" ht="12.75"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row>
    <row r="45" spans="1:24"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row>
    <row r="46" spans="1:24" ht="12.75"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row>
    <row r="47" spans="1:24" ht="12.75"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row>
    <row r="48" spans="1:24" ht="12.75"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row>
    <row r="49" spans="1:24" ht="12.75"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row>
    <row r="50" spans="1:24" ht="12.75"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row>
    <row r="51" spans="1:24" ht="12.75"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row>
    <row r="52" spans="1:24" ht="12.7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row>
    <row r="53" spans="1:24" ht="12.7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row>
    <row r="54" spans="1:24" ht="12.75"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row>
    <row r="55" spans="1:24" ht="12.7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row>
    <row r="56" spans="1:24" ht="12.75"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row>
    <row r="57" spans="1:24" ht="12.75"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row>
    <row r="58" spans="1:24" ht="12.75"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row>
    <row r="59" spans="1:24" ht="12.7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row>
    <row r="60" spans="1:24" ht="12.75"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row>
    <row r="61" spans="1:24" ht="12.7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row>
    <row r="62" spans="1:24" ht="12.75"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row>
    <row r="63" spans="1:24" ht="12.75"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row>
    <row r="64" spans="1:24" ht="12.75"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row>
    <row r="65" spans="1:24" ht="12.75"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row>
    <row r="66" spans="1:24" ht="12.75"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row>
    <row r="67" spans="1:24" ht="12.75"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row>
    <row r="68" spans="1:24" ht="12.75"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row>
    <row r="69" spans="1:24" ht="12.75"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row>
    <row r="70" spans="1:24" ht="12.7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row>
    <row r="71" spans="1:24" ht="12.75"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row>
    <row r="72" spans="1:24" ht="12.75"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row>
    <row r="73" spans="1:24" ht="12.75"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row>
    <row r="74" spans="1:24" ht="12.75"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row>
    <row r="75" spans="1:24" ht="12.75"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row>
    <row r="76" spans="1:24" ht="12.75"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row>
    <row r="77" spans="1:24" ht="12.75"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row>
    <row r="78" spans="1:24" ht="12.75"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row>
    <row r="79" spans="1:24" ht="12.75"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row>
    <row r="80" spans="1:24" ht="12.75"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row>
    <row r="81" spans="1:24" ht="12.75"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row>
    <row r="82" spans="1:24" ht="12.75"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row>
    <row r="83" spans="1:24" ht="12.75"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row>
    <row r="84" spans="1:24" ht="12.75"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row>
    <row r="85" spans="1:24" ht="12.75"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row>
    <row r="86" spans="1:24" ht="12.75"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row>
    <row r="87" spans="1:24" ht="12.75"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row>
    <row r="88" spans="1:24" ht="12.75"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row>
    <row r="89" spans="1:24" ht="12.75"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row>
    <row r="90" spans="1:24" ht="12.75"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row>
    <row r="91" spans="1:24" ht="12.75"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row>
    <row r="92" spans="1:24" ht="12.75"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row>
    <row r="93" spans="1:24" ht="12.75"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row>
    <row r="94" spans="1:24" ht="12.75"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row>
    <row r="95" spans="1:24" ht="12.75"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row>
    <row r="96" spans="1:24" ht="12.75"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row>
    <row r="97" spans="1:24" ht="12.75"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row>
    <row r="98" spans="1:24" ht="12.75"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row>
    <row r="99" spans="1:24" ht="12.75"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row>
    <row r="100" spans="1:24" ht="12.75"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ht="12.75"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row>
    <row r="102" spans="1:24" ht="12.75"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row>
    <row r="103" spans="1:24" ht="12.75"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row>
    <row r="104" spans="1:24" ht="12.75"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row>
    <row r="105" spans="1:24" ht="12.75"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spans="1:24" ht="12.75"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row>
    <row r="107" spans="1:24" ht="12.75"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row>
    <row r="108" spans="1:24" ht="12.75"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row>
    <row r="109" spans="1:24" ht="12.75"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row>
    <row r="110" spans="1:24" ht="12.75"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row>
    <row r="111" spans="1:24" ht="12.75"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row>
    <row r="112" spans="1:24" ht="12.75"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row>
    <row r="113" spans="1:24" ht="12.75"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row>
    <row r="114" spans="1:24" ht="12.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row>
    <row r="115" spans="1:24" ht="12.75"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row>
    <row r="116" spans="1:24" ht="12.75"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row>
    <row r="117" spans="1:24" ht="12.75"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row>
    <row r="118" spans="1:24" ht="12.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row>
    <row r="119" spans="1:24" ht="12.75"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row>
    <row r="120" spans="1:24" ht="12.75"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row>
    <row r="121" spans="1:24" ht="12.7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row>
    <row r="122" spans="1:24" ht="12.75"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row>
    <row r="123" spans="1:24" ht="12.75"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row>
    <row r="124" spans="1:24" ht="12.75"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row>
    <row r="125" spans="1:24" ht="12.75"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row>
    <row r="126" spans="1:24" ht="12.75"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row>
    <row r="127" spans="1:24" ht="12.75"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row>
    <row r="128" spans="1:24" ht="12.75"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row>
    <row r="129" spans="1:24" ht="12.75"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row>
    <row r="130" spans="1:24" ht="12.75"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row>
    <row r="131" spans="1:24" ht="12.75"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row>
    <row r="132" spans="1:24" ht="12.75"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row>
    <row r="133" spans="1:24" ht="12.75"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row>
    <row r="134" spans="1:24" ht="12.75"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row>
    <row r="135" spans="1:24" ht="12.75"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row>
    <row r="136" spans="1:24" ht="12.75"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row>
    <row r="137" spans="1:24" ht="12.75"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row>
    <row r="138" spans="1:24" ht="12.75"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row>
    <row r="139" spans="1:24" ht="12.75"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row>
    <row r="140" spans="1:24" ht="12.75"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row>
    <row r="141" spans="1:24" ht="12.75"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row>
    <row r="142" spans="1:24" ht="12.75"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row>
    <row r="143" spans="1:24" ht="12.75"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row>
    <row r="144" spans="1:24" ht="12.75"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row>
    <row r="145" spans="1:24" ht="12.75"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row>
    <row r="146" spans="1:24" ht="12.75"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row>
    <row r="147" spans="1:24" ht="12.75"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row>
    <row r="148" spans="1:24" ht="12.75"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24" ht="12.75"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row>
    <row r="150" spans="1:24" ht="12.75"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row>
    <row r="151" spans="1:24" ht="12.75"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row>
    <row r="152" spans="1:24" ht="12.75"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row>
    <row r="153" spans="1:24" ht="12.75"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row>
    <row r="154" spans="1:24" ht="12.75"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row>
    <row r="155" spans="1:24" ht="12.75"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row>
    <row r="156" spans="1:24" ht="12.75"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row r="157" spans="1:24" ht="12.75"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row r="158" spans="1:24" ht="12.75"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row>
    <row r="159" spans="1:24" ht="12.75"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row>
    <row r="160" spans="1:24" ht="12.75"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row>
    <row r="161" spans="1:24" ht="12.75"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row>
    <row r="162" spans="1:24" ht="12.75"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row>
    <row r="163" spans="1:24" ht="12.75"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row>
    <row r="164" spans="1:24" ht="12.75"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row>
    <row r="165" spans="1:24" ht="12.75"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row>
    <row r="166" spans="1:24" ht="12.75"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row>
    <row r="167" spans="1:24" ht="12.75"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row>
    <row r="168" spans="1:24" ht="12.75"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row>
    <row r="169" spans="1:24" ht="12.75"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row>
    <row r="170" spans="1:24" ht="12.75"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row>
    <row r="171" spans="1:24" ht="12.75"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row>
    <row r="172" spans="1:24" ht="12.75"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row>
    <row r="173" spans="1:24" ht="12.75"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row>
    <row r="174" spans="1:24" ht="12.75"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row>
    <row r="175" spans="1:24" ht="12.75"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row>
    <row r="176" spans="1:24" ht="12.75"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row>
    <row r="177" spans="1:24" ht="12.75"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row>
    <row r="178" spans="1:24" ht="12.75"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row>
    <row r="179" spans="1:24" ht="12.75"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row>
    <row r="180" spans="1:24" ht="12.75"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row>
    <row r="181" spans="1:24" ht="12.75"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row>
    <row r="182" spans="1:24" ht="12.75"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row>
    <row r="183" spans="1:24" ht="12.75"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row>
    <row r="184" spans="1:24" ht="12.75"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row>
    <row r="185" spans="1:24" ht="12.75"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row>
    <row r="186" spans="1:24" ht="12.75"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row>
    <row r="187" spans="1:24" ht="12.75"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row>
    <row r="188" spans="1:24" ht="12.75"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row>
    <row r="189" spans="1:24" ht="12.75"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row>
    <row r="190" spans="1:24" ht="12.75"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row>
    <row r="191" spans="1:24" ht="12.75"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row>
    <row r="192" spans="1:24" ht="12.75"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row>
    <row r="193" spans="1:24" ht="12.75"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row>
    <row r="194" spans="1:24" ht="12.7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row>
    <row r="195" spans="1:24" ht="12.7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row>
    <row r="196" spans="1:24" ht="12.7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row>
    <row r="197" spans="1:24" ht="12.7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row>
    <row r="198" spans="1:24" ht="12.7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row>
    <row r="199" spans="1:24" ht="12.7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row>
    <row r="200" spans="1:24" ht="12.7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row>
    <row r="201" spans="1:24" ht="12.7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row>
    <row r="202" spans="1:24" ht="12.7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row>
    <row r="203" spans="1:24" ht="12.7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row>
    <row r="204" spans="1:24" ht="12.7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row>
    <row r="205" spans="1:24" ht="12.7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row>
    <row r="206" spans="1:24" ht="12.7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row>
    <row r="207" spans="1:24" ht="12.7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row>
    <row r="208" spans="1:24" ht="12.7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row>
    <row r="209" spans="1:24" ht="12.7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row>
    <row r="210" spans="1:24" ht="12.7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row r="211" spans="1:24" ht="12.7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row r="212" spans="1:24" ht="12.7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row>
    <row r="213" spans="1:24" ht="12.7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row>
    <row r="214" spans="1:24" ht="12.7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row>
    <row r="215" spans="1:24" ht="12.7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row>
    <row r="216" spans="1:24" ht="12.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row>
    <row r="217" spans="1:24" ht="12.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row>
    <row r="218" spans="1:24" ht="12.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row>
    <row r="219" spans="1:24" ht="12.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row>
    <row r="220" spans="1:24"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row>
    <row r="221" spans="1:24"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row>
    <row r="222" spans="1:24"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row>
    <row r="223" spans="1:24"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row>
    <row r="224" spans="1:24"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row>
    <row r="225" spans="1:24"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row>
    <row r="226" spans="1:24"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row>
    <row r="227" spans="1:24"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row>
    <row r="228" spans="1:24"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row>
    <row r="229" spans="1:24"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row>
    <row r="230" spans="1:24"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row>
    <row r="231" spans="1:24"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row>
    <row r="232" spans="1:24"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row>
    <row r="233" spans="1:24"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row>
    <row r="234" spans="1:24"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row>
    <row r="235" spans="1:24"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row>
    <row r="236" spans="1:24"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row>
    <row r="237" spans="1:24"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row>
    <row r="238" spans="1:24"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row>
    <row r="239" spans="1:24"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row>
    <row r="240" spans="1:24"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row>
    <row r="241" spans="1:24"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row>
    <row r="242" spans="1:24"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row>
    <row r="243" spans="1:24"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row>
    <row r="244" spans="1:24"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row>
    <row r="245" spans="1:24"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row>
    <row r="246" spans="1:24"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row>
    <row r="247" spans="1:24"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row>
    <row r="248" spans="1:24"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row>
    <row r="249" spans="1:24"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row>
    <row r="250" spans="1:24"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row>
    <row r="251" spans="1:24"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row>
    <row r="252" spans="1:24"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row>
    <row r="253" spans="1:24"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row>
    <row r="254" spans="1:24"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row>
    <row r="255" spans="1:24"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row>
    <row r="256" spans="1:24"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row>
    <row r="257" spans="1:24"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row>
    <row r="258" spans="1:24"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row>
    <row r="259" spans="1:24"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row>
    <row r="260" spans="1:24"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row>
    <row r="261" spans="1:24"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row>
    <row r="262" spans="1:24"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row>
    <row r="263" spans="1:24"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row>
    <row r="264" spans="1:24"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row>
    <row r="265" spans="1:24"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row>
    <row r="266" spans="1:24"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row>
    <row r="267" spans="1:24"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row>
    <row r="268" spans="1:24"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row>
    <row r="269" spans="1:24"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row>
    <row r="270" spans="1:24"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row>
    <row r="271" spans="1:24"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row>
    <row r="272" spans="1:24"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row>
    <row r="273" spans="1:24"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row>
    <row r="274" spans="1:24"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row>
    <row r="275" spans="1:24"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row>
    <row r="276" spans="1:24"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row>
    <row r="277" spans="1:24"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row>
    <row r="278" spans="1:24"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row>
    <row r="279" spans="1:24"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row>
    <row r="280" spans="1:24"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row>
    <row r="281" spans="1:24"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row>
    <row r="282" spans="1:24"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row>
    <row r="283" spans="1:24"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row>
    <row r="284" spans="1:24"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row>
    <row r="285" spans="1:24"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row>
    <row r="286" spans="1:24"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row>
    <row r="287" spans="1:24"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row>
    <row r="288" spans="1:24"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row>
    <row r="289" spans="1:24"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row>
    <row r="290" spans="1:24"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row>
    <row r="291" spans="1:24"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row>
    <row r="292" spans="1:24"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row>
    <row r="293" spans="1:24"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row>
    <row r="294" spans="1:24"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row>
    <row r="295" spans="1:24"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row>
    <row r="296" spans="1:24"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row>
    <row r="297" spans="1:24"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row>
    <row r="298" spans="1:24"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row>
    <row r="299" spans="1:24"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row>
    <row r="300" spans="1:24"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row>
    <row r="301" spans="1:24"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row>
    <row r="302" spans="1:24"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row>
    <row r="303" spans="1:24"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row>
    <row r="304" spans="1:24"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row>
    <row r="305" spans="1:24"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row>
    <row r="306" spans="1:24"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row>
    <row r="307" spans="1:24"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row>
    <row r="308" spans="1:24"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row>
    <row r="309" spans="1:24"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row>
    <row r="310" spans="1:24"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row>
    <row r="311" spans="1:24"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row>
    <row r="312" spans="1:24"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row>
    <row r="313" spans="1:24"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row>
    <row r="314" spans="1:24"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row>
    <row r="315" spans="1:24"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row>
    <row r="316" spans="1:24"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row>
    <row r="317" spans="1:24"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row>
    <row r="318" spans="1:24" ht="12.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row>
    <row r="319" spans="1:24" ht="12.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row>
    <row r="320" spans="1:24" ht="12.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row>
    <row r="321" spans="1:24" ht="12.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row>
    <row r="322" spans="1:24" ht="12.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row>
    <row r="323" spans="1:24" ht="12.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row>
    <row r="324" spans="1:24" ht="12.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row>
    <row r="325" spans="1:24" ht="12.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row>
    <row r="326" spans="1:24" ht="12.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row>
    <row r="327" spans="1:24" ht="12.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row>
    <row r="328" spans="1:24" ht="12.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row>
    <row r="329" spans="1:24" ht="12.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row>
    <row r="330" spans="1:24" ht="12.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row>
    <row r="331" spans="1:24" ht="12.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row>
    <row r="332" spans="1:24" ht="12.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row>
    <row r="333" spans="1:24" ht="12.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row>
    <row r="334" spans="1:24" ht="12.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row>
    <row r="335" spans="1:24" ht="12.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row>
    <row r="336" spans="1:24" ht="12.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row>
    <row r="337" spans="1:24" ht="12.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row>
    <row r="338" spans="1:24" ht="12.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row>
    <row r="339" spans="1:24" ht="12.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row>
    <row r="340" spans="1:24" ht="12.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row>
    <row r="341" spans="1:24" ht="12.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row>
    <row r="342" spans="1:24" ht="12.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row>
    <row r="343" spans="1:24" ht="12.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row>
    <row r="344" spans="1:24" ht="12.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row>
    <row r="345" spans="1:24" ht="12.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row>
    <row r="346" spans="1:24" ht="12.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row>
    <row r="347" spans="1:24" ht="12.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row>
    <row r="348" spans="1:24" ht="12.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row>
    <row r="349" spans="1:24" ht="12.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row>
    <row r="350" spans="1:24" ht="12.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row>
    <row r="351" spans="1:24" ht="12.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row>
    <row r="352" spans="1:24" ht="12.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row>
    <row r="353" spans="1:24" ht="12.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row>
    <row r="354" spans="1:24" ht="12.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row>
    <row r="355" spans="1:24" ht="12.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row>
    <row r="356" spans="1:24" ht="12.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row>
    <row r="357" spans="1:24" ht="12.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row>
    <row r="358" spans="1:24" ht="12.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row>
    <row r="359" spans="1:24" ht="12.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row>
    <row r="360" spans="1:24" ht="12.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row>
    <row r="361" spans="1:24" ht="12.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row>
    <row r="362" spans="1:24" ht="12.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row>
    <row r="363" spans="1:24" ht="12.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row>
    <row r="364" spans="1:24" ht="12.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row>
    <row r="365" spans="1:24" ht="12.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row>
    <row r="366" spans="1:24" ht="12.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row>
    <row r="367" spans="1:24" ht="12.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row>
    <row r="368" spans="1:24" ht="12.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row>
    <row r="369" spans="1:24" ht="12.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row>
    <row r="370" spans="1:24" ht="12.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row>
    <row r="371" spans="1:24" ht="12.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row>
    <row r="372" spans="1:24" ht="12.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row>
    <row r="373" spans="1:24" ht="12.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row>
    <row r="374" spans="1:24" ht="12.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row>
    <row r="375" spans="1:24" ht="12.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row>
    <row r="376" spans="1:24" ht="12.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row>
    <row r="377" spans="1:24" ht="12.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row>
    <row r="378" spans="1:24" ht="12.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row>
    <row r="379" spans="1:24" ht="12.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row>
    <row r="380" spans="1:24" ht="12.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row>
    <row r="381" spans="1:24" ht="12.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row>
    <row r="382" spans="1:24" ht="12.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row>
    <row r="383" spans="1:24" ht="12.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row>
    <row r="384" spans="1:24" ht="12.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row>
    <row r="385" spans="1:24" ht="12.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row>
    <row r="386" spans="1:24" ht="12.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row>
    <row r="387" spans="1:24" ht="12.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row>
    <row r="388" spans="1:24" ht="12.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row>
    <row r="389" spans="1:24" ht="12.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row>
    <row r="390" spans="1:24" ht="12.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row>
    <row r="391" spans="1:24" ht="12.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row>
    <row r="392" spans="1:24" ht="12.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row>
    <row r="393" spans="1:24" ht="12.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row>
    <row r="394" spans="1:24" ht="12.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row>
    <row r="395" spans="1:24" ht="12.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row>
    <row r="396" spans="1:24" ht="12.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row>
    <row r="397" spans="1:24" ht="12.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row>
    <row r="398" spans="1:24" ht="12.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row>
    <row r="399" spans="1:24" ht="12.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row>
    <row r="400" spans="1:24" ht="12.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row>
    <row r="401" spans="1:24" ht="12.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row>
    <row r="402" spans="1:24" ht="12.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row>
    <row r="403" spans="1:24" ht="12.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row>
    <row r="404" spans="1:24" ht="12.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row>
    <row r="405" spans="1:24" ht="12.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row>
    <row r="406" spans="1:24" ht="12.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row>
    <row r="407" spans="1:24" ht="12.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row>
    <row r="408" spans="1:24" ht="12.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row>
    <row r="409" spans="1:24" ht="12.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row>
    <row r="410" spans="1:24" ht="12.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row>
    <row r="411" spans="1:24" ht="12.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row>
    <row r="412" spans="1:24" ht="12.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row>
    <row r="413" spans="1:24" ht="12.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row>
    <row r="414" spans="1:24" ht="12.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row>
    <row r="415" spans="1:24" ht="12.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row>
    <row r="416" spans="1:24" ht="12.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row>
    <row r="417" spans="1:24" ht="12.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row>
    <row r="418" spans="1:24" ht="12.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row>
    <row r="419" spans="1:24" ht="12.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row>
    <row r="420" spans="1:24" ht="12.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row>
    <row r="421" spans="1:24" ht="12.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row>
    <row r="422" spans="1:24" ht="12.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row>
    <row r="423" spans="1:24" ht="12.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row>
    <row r="424" spans="1:24" ht="12.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row>
    <row r="425" spans="1:24" ht="12.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row>
    <row r="426" spans="1:24" ht="12.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row>
    <row r="427" spans="1:24" ht="12.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row>
    <row r="428" spans="1:24" ht="12.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row>
    <row r="429" spans="1:24" ht="12.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row>
    <row r="430" spans="1:24" ht="12.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row>
    <row r="431" spans="1:24" ht="12.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row>
    <row r="432" spans="1:24" ht="12.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row>
    <row r="433" spans="1:24" ht="12.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row>
    <row r="434" spans="1:24" ht="12.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row>
    <row r="435" spans="1:24" ht="12.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row>
    <row r="436" spans="1:24" ht="12.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row>
    <row r="437" spans="1:24" ht="12.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row>
    <row r="438" spans="1:24" ht="12.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row>
    <row r="439" spans="1:24" ht="12.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row>
    <row r="440" spans="1:24" ht="12.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row>
    <row r="441" spans="1:24" ht="12.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row>
    <row r="442" spans="1:24" ht="12.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row>
    <row r="443" spans="1:24" ht="12.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row>
    <row r="444" spans="1:24" ht="12.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row>
    <row r="445" spans="1:24" ht="12.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row>
    <row r="446" spans="1:24" ht="12.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row>
    <row r="447" spans="1:24" ht="12.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row>
    <row r="448" spans="1:24" ht="12.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row>
    <row r="449" spans="1:24" ht="12.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row>
    <row r="450" spans="1:24" ht="12.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row>
    <row r="451" spans="1:24" ht="12.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row>
    <row r="452" spans="1:24" ht="12.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row>
    <row r="453" spans="1:24" ht="12.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row>
    <row r="454" spans="1:24" ht="12.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row>
    <row r="455" spans="1:24" ht="12.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row>
    <row r="456" spans="1:24" ht="12.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row>
    <row r="457" spans="1:24" ht="12.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row>
    <row r="458" spans="1:24" ht="12.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row>
    <row r="459" spans="1:24" ht="12.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row>
    <row r="460" spans="1:24" ht="12.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row>
    <row r="461" spans="1:24" ht="12.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row>
    <row r="462" spans="1:24" ht="12.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row>
    <row r="463" spans="1:24" ht="12.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row>
    <row r="464" spans="1:24" ht="12.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row>
    <row r="465" spans="1:24" ht="12.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row>
    <row r="466" spans="1:24" ht="12.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row>
    <row r="467" spans="1:24" ht="12.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row>
    <row r="468" spans="1:24" ht="12.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row>
    <row r="469" spans="1:24" ht="12.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row>
    <row r="470" spans="1:24" ht="12.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row>
    <row r="471" spans="1:24" ht="12.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row>
    <row r="472" spans="1:24" ht="12.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row>
    <row r="473" spans="1:24" ht="12.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row>
    <row r="474" spans="1:24" ht="12.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row>
    <row r="475" spans="1:24" ht="12.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row>
    <row r="476" spans="1:24" ht="12.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row>
    <row r="477" spans="1:24" ht="12.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row>
    <row r="478" spans="1:24" ht="12.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row>
    <row r="479" spans="1:24" ht="12.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row>
    <row r="480" spans="1:24" ht="12.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row>
    <row r="481" spans="1:24" ht="12.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row>
    <row r="482" spans="1:24" ht="12.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row>
    <row r="483" spans="1:24" ht="12.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row>
    <row r="484" spans="1:24" ht="12.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row>
    <row r="485" spans="1:24" ht="12.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row>
    <row r="486" spans="1:24" ht="12.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row>
    <row r="487" spans="1:24" ht="12.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row>
    <row r="488" spans="1:24" ht="12.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row>
    <row r="489" spans="1:24" ht="12.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row>
    <row r="490" spans="1:24" ht="12.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row>
    <row r="491" spans="1:24" ht="12.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row>
    <row r="492" spans="1:24" ht="12.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row>
    <row r="493" spans="1:24" ht="12.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row>
    <row r="494" spans="1:24" ht="12.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row>
    <row r="495" spans="1:24" ht="12.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row>
    <row r="496" spans="1:24" ht="12.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row>
    <row r="497" spans="1:24" ht="12.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row>
    <row r="498" spans="1:24" ht="12.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row>
    <row r="499" spans="1:24" ht="12.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row>
    <row r="500" spans="1:24" ht="12.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row>
    <row r="501" spans="1:24" ht="12.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row>
    <row r="502" spans="1:24" ht="12.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row>
    <row r="503" spans="1:24" ht="12.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row>
    <row r="504" spans="1:24" ht="12.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row>
    <row r="505" spans="1:24" ht="12.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row>
    <row r="506" spans="1:24" ht="12.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row>
    <row r="507" spans="1:24" ht="12.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row>
    <row r="508" spans="1:24" ht="12.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row>
    <row r="509" spans="1:24" ht="12.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row>
    <row r="510" spans="1:24" ht="12.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row>
    <row r="511" spans="1:24" ht="12.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row>
    <row r="512" spans="1:24" ht="12.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row>
    <row r="513" spans="1:24" ht="12.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row>
    <row r="514" spans="1:24" ht="12.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row>
    <row r="515" spans="1:24" ht="12.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row>
    <row r="516" spans="1:24" ht="12.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row>
    <row r="517" spans="1:24" ht="12.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row>
    <row r="518" spans="1:24" ht="12.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row>
    <row r="519" spans="1:24" ht="12.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row>
    <row r="520" spans="1:24" ht="12.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row>
    <row r="521" spans="1:24" ht="12.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row>
    <row r="522" spans="1:24" ht="12.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row>
    <row r="523" spans="1:24" ht="12.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row>
    <row r="524" spans="1:24" ht="12.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row>
    <row r="525" spans="1:24" ht="12.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row>
    <row r="526" spans="1:24" ht="12.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row>
    <row r="527" spans="1:24" ht="12.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row>
    <row r="528" spans="1:24" ht="12.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row>
    <row r="529" spans="1:24" ht="12.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row>
    <row r="530" spans="1:24" ht="12.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row>
    <row r="531" spans="1:24" ht="12.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row>
    <row r="532" spans="1:24" ht="12.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row>
    <row r="533" spans="1:24" ht="12.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row>
    <row r="534" spans="1:24" ht="12.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row>
    <row r="535" spans="1:24" ht="12.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row>
    <row r="536" spans="1:24" ht="12.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row>
    <row r="537" spans="1:24" ht="12.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row>
    <row r="538" spans="1:24" ht="12.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row>
    <row r="539" spans="1:24" ht="12.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row>
    <row r="540" spans="1:24" ht="12.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row>
    <row r="541" spans="1:24" ht="12.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row>
    <row r="542" spans="1:24" ht="12.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row>
    <row r="543" spans="1:24" ht="12.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row>
    <row r="544" spans="1:24" ht="12.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row>
    <row r="545" spans="1:24" ht="12.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row>
    <row r="546" spans="1:24" ht="12.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row>
    <row r="547" spans="1:24" ht="12.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row>
    <row r="548" spans="1:24" ht="12.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row>
    <row r="549" spans="1:24" ht="12.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row>
    <row r="550" spans="1:24" ht="12.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row>
    <row r="551" spans="1:24" ht="12.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row>
    <row r="552" spans="1:24" ht="12.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row>
    <row r="553" spans="1:24" ht="12.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row>
    <row r="554" spans="1:24" ht="12.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row>
    <row r="555" spans="1:24" ht="12.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row>
    <row r="556" spans="1:24" ht="12.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row>
    <row r="557" spans="1:24" ht="12.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row>
    <row r="558" spans="1:24" ht="12.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row>
    <row r="559" spans="1:24" ht="12.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row>
    <row r="560" spans="1:24" ht="12.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row>
    <row r="561" spans="1:24" ht="12.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row>
    <row r="562" spans="1:24" ht="12.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row>
    <row r="563" spans="1:24" ht="12.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row>
    <row r="564" spans="1:24" ht="12.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row>
    <row r="565" spans="1:24" ht="12.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row>
    <row r="566" spans="1:24" ht="12.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row>
    <row r="567" spans="1:24" ht="12.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row>
    <row r="568" spans="1:24" ht="12.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row>
    <row r="569" spans="1:24" ht="12.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row>
    <row r="570" spans="1:24" ht="12.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row>
    <row r="571" spans="1:24" ht="12.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row>
    <row r="572" spans="1:24" ht="12.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row>
    <row r="573" spans="1:24" ht="12.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row>
    <row r="574" spans="1:24" ht="12.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row>
    <row r="575" spans="1:24" ht="12.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row>
    <row r="576" spans="1:24" ht="12.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row>
    <row r="577" spans="1:24" ht="12.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row>
    <row r="578" spans="1:24" ht="12.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row>
    <row r="579" spans="1:24" ht="12.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row>
    <row r="580" spans="1:24" ht="12.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row>
    <row r="581" spans="1:24" ht="12.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row>
    <row r="582" spans="1:24" ht="12.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row>
    <row r="583" spans="1:24" ht="12.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row>
    <row r="584" spans="1:24" ht="12.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row>
    <row r="585" spans="1:24" ht="12.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row>
    <row r="586" spans="1:24" ht="12.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row>
    <row r="587" spans="1:24" ht="12.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row>
    <row r="588" spans="1:24" ht="12.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row>
    <row r="589" spans="1:24" ht="12.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row>
    <row r="590" spans="1:24" ht="12.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row>
    <row r="591" spans="1:24" ht="12.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row>
    <row r="592" spans="1:24" ht="12.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row>
    <row r="593" spans="1:24" ht="12.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row>
    <row r="594" spans="1:24" ht="12.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row>
    <row r="595" spans="1:24" ht="12.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row>
    <row r="596" spans="1:24" ht="12.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row>
    <row r="597" spans="1:24" ht="12.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row>
    <row r="598" spans="1:24" ht="12.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row>
    <row r="599" spans="1:24" ht="12.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row>
    <row r="600" spans="1:24" ht="12.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row>
    <row r="601" spans="1:24" ht="12.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row>
    <row r="602" spans="1:24" ht="12.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row>
    <row r="603" spans="1:24" ht="12.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row>
    <row r="604" spans="1:24" ht="12.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row>
    <row r="605" spans="1:24" ht="12.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row>
    <row r="606" spans="1:24" ht="12.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row>
    <row r="607" spans="1:24" ht="12.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row>
    <row r="608" spans="1:24" ht="12.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row>
    <row r="609" spans="1:24" ht="12.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row>
    <row r="610" spans="1:24" ht="12.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row>
    <row r="611" spans="1:24" ht="12.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row>
    <row r="612" spans="1:24" ht="12.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row>
    <row r="613" spans="1:24" ht="12.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row>
    <row r="614" spans="1:24" ht="12.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row>
    <row r="615" spans="1:24" ht="12.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row>
    <row r="616" spans="1:24" ht="12.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row>
    <row r="617" spans="1:24" ht="12.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row>
    <row r="618" spans="1:24" ht="12.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row>
    <row r="619" spans="1:24" ht="12.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row>
    <row r="620" spans="1:24" ht="12.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row>
    <row r="621" spans="1:24" ht="12.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row>
    <row r="622" spans="1:24" ht="12.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row>
    <row r="623" spans="1:24" ht="12.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row>
    <row r="624" spans="1:24" ht="12.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row>
    <row r="625" spans="1:24" ht="12.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row>
    <row r="626" spans="1:24" ht="12.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row>
    <row r="627" spans="1:24" ht="12.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row>
    <row r="628" spans="1:24" ht="12.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row>
    <row r="629" spans="1:24" ht="12.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row>
    <row r="630" spans="1:24" ht="12.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row>
    <row r="631" spans="1:24" ht="12.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row>
    <row r="632" spans="1:24" ht="12.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row>
    <row r="633" spans="1:24" ht="12.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row>
    <row r="634" spans="1:24" ht="12.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row>
    <row r="635" spans="1:24" ht="12.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row>
    <row r="636" spans="1:24" ht="12.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row>
    <row r="637" spans="1:24" ht="12.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row>
    <row r="638" spans="1:24" ht="12.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row>
    <row r="639" spans="1:24" ht="12.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row>
    <row r="640" spans="1:24" ht="12.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row>
    <row r="641" spans="1:24" ht="12.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row>
    <row r="642" spans="1:24" ht="12.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row>
    <row r="643" spans="1:24" ht="12.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row>
    <row r="644" spans="1:24" ht="12.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row>
    <row r="645" spans="1:24" ht="12.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row>
    <row r="646" spans="1:24" ht="12.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row>
    <row r="647" spans="1:24" ht="12.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row>
    <row r="648" spans="1:24" ht="12.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row>
    <row r="649" spans="1:24" ht="12.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row>
    <row r="650" spans="1:24" ht="12.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row>
    <row r="651" spans="1:24" ht="12.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row>
    <row r="652" spans="1:24" ht="12.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row>
    <row r="653" spans="1:24" ht="12.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row>
    <row r="654" spans="1:24" ht="12.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row>
    <row r="655" spans="1:24" ht="12.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row>
    <row r="656" spans="1:24" ht="12.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row>
    <row r="657" spans="1:24" ht="12.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row>
    <row r="658" spans="1:24" ht="12.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row>
    <row r="659" spans="1:24" ht="12.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row>
    <row r="660" spans="1:24" ht="12.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row>
    <row r="661" spans="1:24" ht="12.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row>
    <row r="662" spans="1:24" ht="12.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row>
    <row r="663" spans="1:24" ht="12.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row>
    <row r="664" spans="1:24" ht="12.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row>
    <row r="665" spans="1:24" ht="12.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row>
    <row r="666" spans="1:24" ht="12.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row>
    <row r="667" spans="1:24" ht="12.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row>
    <row r="668" spans="1:24" ht="12.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row>
    <row r="669" spans="1:24" ht="12.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row>
    <row r="670" spans="1:24" ht="12.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row>
    <row r="671" spans="1:24" ht="12.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row>
    <row r="672" spans="1:24" ht="12.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row>
    <row r="673" spans="1:24" ht="12.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row>
    <row r="674" spans="1:24" ht="12.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row>
    <row r="675" spans="1:24" ht="12.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row>
    <row r="676" spans="1:24" ht="12.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row>
    <row r="677" spans="1:24" ht="12.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row>
    <row r="678" spans="1:24" ht="12.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row>
    <row r="679" spans="1:24" ht="12.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row>
    <row r="680" spans="1:24" ht="12.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row>
    <row r="681" spans="1:24" ht="12.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row>
    <row r="682" spans="1:24" ht="12.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row>
    <row r="683" spans="1:24" ht="12.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row>
    <row r="684" spans="1:24" ht="12.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row>
    <row r="685" spans="1:24" ht="12.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row>
    <row r="686" spans="1:24" ht="12.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row>
    <row r="687" spans="1:24" ht="12.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row>
    <row r="688" spans="1:24" ht="12.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row>
    <row r="689" spans="1:24" ht="12.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row>
    <row r="690" spans="1:24" ht="12.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row>
    <row r="691" spans="1:24" ht="12.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row>
    <row r="692" spans="1:24" ht="12.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row>
    <row r="693" spans="1:24" ht="12.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row>
    <row r="694" spans="1:24" ht="12.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row>
    <row r="695" spans="1:24" ht="12.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row>
    <row r="696" spans="1:24" ht="12.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row>
    <row r="697" spans="1:24" ht="12.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row>
    <row r="698" spans="1:24" ht="12.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row>
    <row r="699" spans="1:24" ht="12.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row>
    <row r="700" spans="1:24" ht="12.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row>
    <row r="701" spans="1:24" ht="12.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row>
    <row r="702" spans="1:24" ht="12.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row>
    <row r="703" spans="1:24" ht="12.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row>
    <row r="704" spans="1:24" ht="12.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row>
    <row r="705" spans="1:24" ht="12.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row>
    <row r="706" spans="1:24" ht="12.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row>
    <row r="707" spans="1:24" ht="12.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row>
    <row r="708" spans="1:24" ht="12.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row>
    <row r="709" spans="1:24" ht="12.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row>
    <row r="710" spans="1:24" ht="12.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row>
    <row r="711" spans="1:24" ht="12.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row>
    <row r="712" spans="1:24" ht="12.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row>
    <row r="713" spans="1:24" ht="12.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row>
    <row r="714" spans="1:24" ht="12.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row>
    <row r="715" spans="1:24" ht="12.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row>
    <row r="716" spans="1:24" ht="12.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row>
    <row r="717" spans="1:24" ht="12.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row>
    <row r="718" spans="1:24" ht="12.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row>
    <row r="719" spans="1:24" ht="12.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row>
    <row r="720" spans="1:24" ht="12.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row>
    <row r="721" spans="1:24" ht="12.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row>
    <row r="722" spans="1:24" ht="12.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row>
    <row r="723" spans="1:24" ht="12.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row>
    <row r="724" spans="1:24" ht="12.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row>
    <row r="725" spans="1:24" ht="12.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row>
    <row r="726" spans="1:24" ht="12.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row>
    <row r="727" spans="1:24" ht="12.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row>
    <row r="728" spans="1:24" ht="12.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row>
    <row r="729" spans="1:24" ht="12.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row>
    <row r="730" spans="1:24" ht="12.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row>
    <row r="731" spans="1:24" ht="12.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row>
    <row r="732" spans="1:24" ht="12.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row>
    <row r="733" spans="1:24" ht="12.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row>
    <row r="734" spans="1:24" ht="12.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row>
    <row r="735" spans="1:24" ht="12.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row>
    <row r="736" spans="1:24" ht="12.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row>
    <row r="737" spans="1:24" ht="12.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row>
    <row r="738" spans="1:24" ht="12.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row>
    <row r="739" spans="1:24" ht="12.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row>
    <row r="740" spans="1:24" ht="12.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row>
    <row r="741" spans="1:24" ht="12.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row>
    <row r="742" spans="1:24" ht="12.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row>
    <row r="743" spans="1:24" ht="12.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row>
    <row r="744" spans="1:24" ht="12.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row>
    <row r="745" spans="1:24" ht="12.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row>
    <row r="746" spans="1:24" ht="12.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row>
    <row r="747" spans="1:24" ht="12.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row>
    <row r="748" spans="1:24" ht="12.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row>
    <row r="749" spans="1:24" ht="12.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row>
    <row r="750" spans="1:24" ht="12.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row>
    <row r="751" spans="1:24" ht="12.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row>
    <row r="752" spans="1:24" ht="12.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row>
    <row r="753" spans="1:24" ht="12.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row>
    <row r="754" spans="1:24" ht="12.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row>
    <row r="755" spans="1:24" ht="12.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row>
    <row r="756" spans="1:24" ht="12.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row>
    <row r="757" spans="1:24" ht="12.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row>
    <row r="758" spans="1:24" ht="12.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row>
    <row r="759" spans="1:24" ht="12.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row>
    <row r="760" spans="1:24" ht="12.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row>
    <row r="761" spans="1:24" ht="12.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row>
    <row r="762" spans="1:24" ht="12.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row>
    <row r="763" spans="1:24" ht="12.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row>
    <row r="764" spans="1:24" ht="12.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row>
    <row r="765" spans="1:24" ht="12.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row>
    <row r="766" spans="1:24" ht="12.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row>
    <row r="767" spans="1:24" ht="12.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row>
    <row r="768" spans="1:24" ht="12.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row>
    <row r="769" spans="1:24" ht="12.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row>
    <row r="770" spans="1:24" ht="12.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row>
    <row r="771" spans="1:24" ht="12.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row>
    <row r="772" spans="1:24" ht="12.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row>
    <row r="773" spans="1:24" ht="12.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row>
    <row r="774" spans="1:24" ht="12.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row>
    <row r="775" spans="1:24" ht="12.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row>
    <row r="776" spans="1:24" ht="12.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row>
    <row r="777" spans="1:24" ht="12.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row>
    <row r="778" spans="1:24" ht="12.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row>
    <row r="779" spans="1:24" ht="12.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row>
    <row r="780" spans="1:24" ht="12.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row>
    <row r="781" spans="1:24" ht="12.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row>
    <row r="782" spans="1:24" ht="12.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row>
    <row r="783" spans="1:24" ht="12.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row>
    <row r="784" spans="1:24" ht="12.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row>
    <row r="785" spans="1:24" ht="12.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row>
    <row r="786" spans="1:24" ht="12.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row>
    <row r="787" spans="1:24" ht="12.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row>
    <row r="788" spans="1:24" ht="12.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row>
    <row r="789" spans="1:24" ht="12.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row>
    <row r="790" spans="1:24" ht="12.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row>
    <row r="791" spans="1:24" ht="12.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row>
    <row r="792" spans="1:24" ht="12.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row>
    <row r="793" spans="1:24" ht="12.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row>
    <row r="794" spans="1:24" ht="12.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row>
    <row r="795" spans="1:24" ht="12.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row>
    <row r="796" spans="1:24" ht="12.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row>
    <row r="797" spans="1:24" ht="12.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row>
    <row r="798" spans="1:24" ht="12.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row>
    <row r="799" spans="1:24" ht="12.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row>
    <row r="800" spans="1:24" ht="12.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row>
    <row r="801" spans="1:24" ht="12.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row>
    <row r="802" spans="1:24" ht="12.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row>
    <row r="803" spans="1:24" ht="12.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row>
    <row r="804" spans="1:24" ht="12.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row>
    <row r="805" spans="1:24" ht="12.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row>
    <row r="806" spans="1:24" ht="12.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row>
    <row r="807" spans="1:24" ht="12.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row>
    <row r="808" spans="1:24" ht="12.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row>
    <row r="809" spans="1:24" ht="12.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row>
    <row r="810" spans="1:24" ht="12.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row>
    <row r="811" spans="1:24" ht="12.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row>
    <row r="812" spans="1:24" ht="12.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row>
    <row r="813" spans="1:24" ht="12.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row>
    <row r="814" spans="1:24" ht="12.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row>
    <row r="815" spans="1:24" ht="12.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row>
    <row r="816" spans="1:24" ht="12.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row>
    <row r="817" spans="1:24" ht="12.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row>
    <row r="818" spans="1:24" ht="12.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row>
    <row r="819" spans="1:24" ht="12.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row>
    <row r="820" spans="1:24" ht="12.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row>
    <row r="821" spans="1:24" ht="12.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row>
    <row r="822" spans="1:24" ht="12.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row>
    <row r="823" spans="1:24" ht="12.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row>
    <row r="824" spans="1:24" ht="12.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row>
    <row r="825" spans="1:24" ht="12.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row>
    <row r="826" spans="1:24" ht="12.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row>
    <row r="827" spans="1:24" ht="12.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row>
    <row r="828" spans="1:24" ht="12.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row>
    <row r="829" spans="1:24" ht="12.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row>
    <row r="830" spans="1:24" ht="12.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row>
    <row r="831" spans="1:24" ht="12.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row>
    <row r="832" spans="1:24" ht="12.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row>
    <row r="833" spans="1:24" ht="12.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row>
    <row r="834" spans="1:24" ht="12.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row>
    <row r="835" spans="1:24" ht="12.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row>
    <row r="836" spans="1:24" ht="12.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row>
    <row r="837" spans="1:24" ht="12.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row>
    <row r="838" spans="1:24" ht="12.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row>
    <row r="839" spans="1:24" ht="12.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row>
    <row r="840" spans="1:24" ht="12.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row>
    <row r="841" spans="1:24" ht="12.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row>
    <row r="842" spans="1:24" ht="12.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row>
    <row r="843" spans="1:24" ht="12.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row>
    <row r="844" spans="1:24" ht="12.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row>
    <row r="845" spans="1:24" ht="12.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row>
    <row r="846" spans="1:24" ht="12.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row>
    <row r="847" spans="1:24" ht="12.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row>
    <row r="848" spans="1:24" ht="12.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row>
    <row r="849" spans="1:24" ht="12.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row>
    <row r="850" spans="1:24" ht="12.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row>
    <row r="851" spans="1:24" ht="12.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row>
    <row r="852" spans="1:24" ht="12.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row>
    <row r="853" spans="1:24" ht="12.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row>
    <row r="854" spans="1:24" ht="12.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row>
    <row r="855" spans="1:24" ht="12.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row>
    <row r="856" spans="1:24" ht="12.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row>
    <row r="857" spans="1:24" ht="12.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row>
    <row r="858" spans="1:24" ht="12.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row>
    <row r="859" spans="1:24" ht="12.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row>
    <row r="860" spans="1:24" ht="12.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row>
    <row r="861" spans="1:24" ht="12.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row>
    <row r="862" spans="1:24" ht="12.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row>
    <row r="863" spans="1:24" ht="12.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row>
    <row r="864" spans="1:24" ht="12.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row>
    <row r="865" spans="1:24" ht="12.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row>
    <row r="866" spans="1:24" ht="12.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row>
    <row r="867" spans="1:24" ht="12.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row>
    <row r="868" spans="1:24" ht="12.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row>
    <row r="869" spans="1:24" ht="12.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row>
    <row r="870" spans="1:24" ht="12.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row>
    <row r="871" spans="1:24" ht="12.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row>
    <row r="872" spans="1:24" ht="12.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row>
    <row r="873" spans="1:24" ht="12.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row>
    <row r="874" spans="1:24" ht="12.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row>
    <row r="875" spans="1:24" ht="12.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row>
    <row r="876" spans="1:24" ht="12.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row>
    <row r="877" spans="1:24" ht="12.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row>
    <row r="878" spans="1:24" ht="12.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row>
    <row r="879" spans="1:24" ht="12.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row>
    <row r="880" spans="1:24" ht="12.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row>
    <row r="881" spans="1:24" ht="12.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row>
    <row r="882" spans="1:24" ht="12.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row>
    <row r="883" spans="1:24" ht="12.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row>
    <row r="884" spans="1:24" ht="12.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row>
    <row r="885" spans="1:24" ht="12.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row>
    <row r="886" spans="1:24" ht="12.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row>
    <row r="887" spans="1:24" ht="12.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row>
    <row r="888" spans="1:24" ht="12.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row>
    <row r="889" spans="1:24" ht="12.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row>
    <row r="890" spans="1:24" ht="12.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row>
    <row r="891" spans="1:24" ht="12.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row>
    <row r="892" spans="1:24" ht="12.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row>
    <row r="893" spans="1:24" ht="12.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row>
    <row r="894" spans="1:24" ht="12.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row>
    <row r="895" spans="1:24" ht="12.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row>
    <row r="896" spans="1:24" ht="12.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row>
    <row r="897" spans="1:24" ht="12.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row>
    <row r="898" spans="1:24" ht="12.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row>
    <row r="899" spans="1:24" ht="12.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row>
    <row r="900" spans="1:24" ht="12.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row>
    <row r="901" spans="1:24" ht="12.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row>
    <row r="902" spans="1:24" ht="12.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row>
    <row r="903" spans="1:24" ht="12.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row>
    <row r="904" spans="1:24" ht="12.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row>
    <row r="905" spans="1:24" ht="12.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row>
    <row r="906" spans="1:24" ht="12.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row>
    <row r="907" spans="1:24" ht="12.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row>
    <row r="908" spans="1:24" ht="12.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row>
    <row r="909" spans="1:24" ht="12.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row>
    <row r="910" spans="1:24" ht="12.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row>
    <row r="911" spans="1:24" ht="12.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row>
    <row r="912" spans="1:24" ht="12.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row>
    <row r="913" spans="1:24" ht="12.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row>
    <row r="914" spans="1:24" ht="12.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row>
    <row r="915" spans="1:24" ht="12.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row>
    <row r="916" spans="1:24" ht="12.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row>
    <row r="917" spans="1:24" ht="12.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row>
    <row r="918" spans="1:24" ht="12.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row>
    <row r="919" spans="1:24" ht="12.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row>
    <row r="920" spans="1:24" ht="12.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row>
    <row r="921" spans="1:24" ht="12.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row>
    <row r="922" spans="1:24" ht="12.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row>
    <row r="923" spans="1:24" ht="12.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row>
    <row r="924" spans="1:24" ht="12.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row>
    <row r="925" spans="1:24" ht="12.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row>
    <row r="926" spans="1:24" ht="12.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row>
    <row r="927" spans="1:24" ht="12.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row>
    <row r="928" spans="1:24" ht="12.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row>
    <row r="929" spans="1:24" ht="12.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row>
    <row r="930" spans="1:24" ht="12.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row>
    <row r="931" spans="1:24" ht="12.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row>
    <row r="932" spans="1:24" ht="12.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row>
    <row r="933" spans="1:24" ht="12.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row>
    <row r="934" spans="1:24" ht="12.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row>
    <row r="935" spans="1:24" ht="12.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row>
    <row r="936" spans="1:24" ht="12.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row>
    <row r="937" spans="1:24" ht="12.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row>
    <row r="938" spans="1:24" ht="12.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row>
    <row r="939" spans="1:24" ht="12.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row>
    <row r="940" spans="1:24" ht="12.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row>
    <row r="941" spans="1:24" ht="12.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row>
    <row r="942" spans="1:24" ht="12.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row>
    <row r="943" spans="1:24" ht="12.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row>
    <row r="944" spans="1:24" ht="12.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row>
    <row r="945" spans="1:24" ht="12.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row>
    <row r="946" spans="1:24" ht="12.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row>
    <row r="947" spans="1:24" ht="12.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row>
    <row r="948" spans="1:24" ht="12.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row>
    <row r="949" spans="1:24" ht="12.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row>
    <row r="950" spans="1:24" ht="12.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row>
    <row r="951" spans="1:24" ht="12.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row>
    <row r="952" spans="1:24" ht="12.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row>
    <row r="953" spans="1:24" ht="12.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row>
    <row r="954" spans="1:24" ht="12.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row>
    <row r="955" spans="1:24" ht="12.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row>
    <row r="956" spans="1:24" ht="12.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row>
    <row r="957" spans="1:24" ht="12.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row>
    <row r="958" spans="1:24" ht="12.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row>
    <row r="959" spans="1:24" ht="12.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row>
    <row r="960" spans="1:24" ht="12.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row>
    <row r="961" spans="1:24" ht="12.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row>
    <row r="962" spans="1:24" ht="12.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row>
    <row r="963" spans="1:24" ht="12.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row>
    <row r="964" spans="1:24" ht="12.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row>
    <row r="965" spans="1:24" ht="12.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row>
    <row r="966" spans="1:24" ht="12.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row>
    <row r="967" spans="1:24" ht="12.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row>
    <row r="968" spans="1:24" ht="12.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row>
    <row r="969" spans="1:24" ht="12.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row>
    <row r="970" spans="1:24" ht="12.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row>
    <row r="971" spans="1:24" ht="12.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row>
    <row r="972" spans="1:24" ht="12.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row>
    <row r="973" spans="1:24" ht="12.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row>
    <row r="974" spans="1:24" ht="12.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row>
    <row r="975" spans="1:24" ht="12.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row>
    <row r="976" spans="1:24" ht="12.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row>
    <row r="977" spans="1:24" ht="12.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row>
    <row r="978" spans="1:24" ht="12.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row>
    <row r="979" spans="1:24" ht="12.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row>
    <row r="980" spans="1:24" ht="12.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row>
    <row r="981" spans="1:24" ht="12.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row>
    <row r="982" spans="1:24" ht="12.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row>
    <row r="983" spans="1:24" ht="12.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row>
    <row r="984" spans="1:24" ht="12.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row>
    <row r="985" spans="1:24" ht="12.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row>
    <row r="986" spans="1:24" ht="12.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row>
    <row r="987" spans="1:24" ht="12.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row>
    <row r="988" spans="1:24" ht="12.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row>
    <row r="989" spans="1:24" ht="12.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row>
    <row r="990" spans="1:24" ht="12.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row>
    <row r="991" spans="1:24" ht="12.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row>
  </sheetData>
  <mergeCells count="6">
    <mergeCell ref="F4:I11"/>
    <mergeCell ref="A33:D36"/>
    <mergeCell ref="A1:D1"/>
    <mergeCell ref="A2:D2"/>
    <mergeCell ref="A3:D3"/>
    <mergeCell ref="A4:D7"/>
  </mergeCells>
  <printOptions horizontalCentered="1" verticalCentered="1"/>
  <pageMargins left="0.75" right="0.75" top="1" bottom="1" header="0" footer="0"/>
  <pageSetup scale="7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1218"/>
  <sheetViews>
    <sheetView showGridLines="0" tabSelected="1" topLeftCell="D244" zoomScale="91" zoomScaleNormal="91" workbookViewId="0">
      <selection activeCell="I256" sqref="I256:N258"/>
    </sheetView>
  </sheetViews>
  <sheetFormatPr baseColWidth="10" defaultColWidth="14.42578125" defaultRowHeight="15" customHeight="1" x14ac:dyDescent="0.2"/>
  <cols>
    <col min="1" max="1" width="20.5703125" customWidth="1"/>
    <col min="2" max="2" width="72.85546875" bestFit="1" customWidth="1"/>
    <col min="3" max="3" width="15.7109375" customWidth="1"/>
    <col min="4" max="4" width="17.7109375" customWidth="1"/>
    <col min="5" max="5" width="16.28515625" customWidth="1"/>
    <col min="6" max="6" width="8.7109375" style="144" bestFit="1" customWidth="1"/>
    <col min="8" max="8" width="36.140625" customWidth="1"/>
    <col min="9" max="9" width="21" customWidth="1"/>
    <col min="10" max="10" width="16.7109375" customWidth="1"/>
    <col min="11" max="11" width="16.140625" bestFit="1" customWidth="1"/>
    <col min="12" max="12" width="14.5703125" customWidth="1"/>
    <col min="14" max="14" width="16" bestFit="1" customWidth="1"/>
    <col min="15" max="15" width="17.5703125" customWidth="1"/>
  </cols>
  <sheetData>
    <row r="1" spans="1:15" ht="12.75" x14ac:dyDescent="0.2">
      <c r="A1" s="53"/>
      <c r="B1" s="53"/>
      <c r="C1" s="54"/>
      <c r="D1" s="54"/>
      <c r="E1" s="54"/>
      <c r="F1" s="54"/>
      <c r="G1" s="54"/>
      <c r="H1" s="53"/>
      <c r="I1" s="53"/>
      <c r="J1" s="54"/>
      <c r="K1" s="54"/>
      <c r="L1" s="54"/>
      <c r="M1" s="54"/>
    </row>
    <row r="2" spans="1:15" ht="15.75" x14ac:dyDescent="0.25">
      <c r="A2" s="234" t="s">
        <v>200</v>
      </c>
      <c r="B2" s="219"/>
      <c r="C2" s="219"/>
      <c r="D2" s="219"/>
      <c r="E2" s="219"/>
      <c r="F2" s="219"/>
      <c r="G2" s="219"/>
      <c r="H2" s="219"/>
      <c r="I2" s="219"/>
      <c r="J2" s="219"/>
      <c r="K2" s="219"/>
      <c r="L2" s="219"/>
      <c r="M2" s="219"/>
    </row>
    <row r="3" spans="1:15" ht="15.75" x14ac:dyDescent="0.25">
      <c r="A3" s="235" t="s">
        <v>36</v>
      </c>
      <c r="B3" s="219"/>
      <c r="C3" s="219"/>
      <c r="D3" s="219"/>
      <c r="E3" s="219"/>
      <c r="F3" s="219"/>
      <c r="G3" s="219"/>
      <c r="H3" s="219"/>
      <c r="I3" s="219"/>
      <c r="J3" s="219"/>
      <c r="K3" s="219"/>
      <c r="L3" s="219"/>
      <c r="M3" s="219"/>
    </row>
    <row r="5" spans="1:15" ht="12.75" x14ac:dyDescent="0.2">
      <c r="A5" s="228" t="s">
        <v>37</v>
      </c>
      <c r="B5" s="229"/>
      <c r="C5" s="229"/>
      <c r="D5" s="229"/>
      <c r="E5" s="229"/>
      <c r="F5" s="236"/>
      <c r="G5" s="229"/>
      <c r="H5" s="229"/>
      <c r="I5" s="229"/>
      <c r="J5" s="55"/>
      <c r="K5" s="55"/>
      <c r="L5" s="55"/>
      <c r="M5" s="55"/>
    </row>
    <row r="6" spans="1:15" ht="12.75" x14ac:dyDescent="0.2">
      <c r="A6" s="230"/>
      <c r="B6" s="219"/>
      <c r="C6" s="219"/>
      <c r="D6" s="219"/>
      <c r="E6" s="219"/>
      <c r="F6" s="219"/>
      <c r="G6" s="219"/>
      <c r="H6" s="219"/>
      <c r="I6" s="219"/>
      <c r="J6" s="56"/>
      <c r="K6" s="56"/>
      <c r="L6" s="56"/>
      <c r="M6" s="56"/>
    </row>
    <row r="7" spans="1:15" ht="12.75" x14ac:dyDescent="0.2">
      <c r="A7" s="237" t="s">
        <v>38</v>
      </c>
      <c r="B7" s="219"/>
      <c r="C7" s="219"/>
      <c r="D7" s="219"/>
      <c r="E7" s="219"/>
      <c r="F7" s="219"/>
      <c r="G7" s="219"/>
      <c r="H7" s="219"/>
      <c r="I7" s="57"/>
      <c r="J7" s="57"/>
      <c r="K7" s="57"/>
      <c r="L7" s="57"/>
      <c r="M7" s="57"/>
    </row>
    <row r="8" spans="1:15" ht="15.75" x14ac:dyDescent="0.25">
      <c r="A8" s="238" t="s">
        <v>39</v>
      </c>
      <c r="B8" s="239"/>
      <c r="C8" s="239"/>
      <c r="D8" s="239"/>
      <c r="E8" s="239"/>
      <c r="F8" s="146"/>
      <c r="G8" s="238" t="s">
        <v>40</v>
      </c>
      <c r="H8" s="239"/>
      <c r="I8" s="239"/>
      <c r="J8" s="239"/>
      <c r="K8" s="239"/>
      <c r="L8" s="239"/>
      <c r="M8" s="239"/>
      <c r="N8" s="239"/>
      <c r="O8" s="240"/>
    </row>
    <row r="9" spans="1:15" x14ac:dyDescent="0.25">
      <c r="A9" s="243" t="s">
        <v>41</v>
      </c>
      <c r="B9" s="244" t="s">
        <v>42</v>
      </c>
      <c r="C9" s="241" t="s">
        <v>43</v>
      </c>
      <c r="D9" s="241" t="s">
        <v>44</v>
      </c>
      <c r="E9" s="241" t="s">
        <v>45</v>
      </c>
      <c r="F9" s="145"/>
      <c r="G9" s="242" t="s">
        <v>46</v>
      </c>
      <c r="H9" s="231" t="s">
        <v>47</v>
      </c>
      <c r="I9" s="231" t="s">
        <v>48</v>
      </c>
      <c r="J9" s="231" t="s">
        <v>49</v>
      </c>
      <c r="K9" s="219"/>
      <c r="L9" s="219"/>
      <c r="M9" s="219"/>
      <c r="N9" s="232" t="s">
        <v>50</v>
      </c>
      <c r="O9" s="232" t="s">
        <v>51</v>
      </c>
    </row>
    <row r="10" spans="1:15" ht="30" customHeight="1" x14ac:dyDescent="0.25">
      <c r="A10" s="219"/>
      <c r="B10" s="219"/>
      <c r="C10" s="219"/>
      <c r="D10" s="219"/>
      <c r="E10" s="219"/>
      <c r="G10" s="219"/>
      <c r="H10" s="219"/>
      <c r="I10" s="219"/>
      <c r="J10" s="60" t="s">
        <v>52</v>
      </c>
      <c r="K10" s="60" t="s">
        <v>53</v>
      </c>
      <c r="L10" s="61" t="s">
        <v>54</v>
      </c>
      <c r="M10" s="62" t="s">
        <v>55</v>
      </c>
      <c r="N10" s="233"/>
      <c r="O10" s="233"/>
    </row>
    <row r="11" spans="1:15" ht="12.75" customHeight="1" x14ac:dyDescent="0.2">
      <c r="A11" s="70" t="s">
        <v>262</v>
      </c>
      <c r="B11" s="63" t="s">
        <v>264</v>
      </c>
      <c r="C11" s="64"/>
      <c r="D11" s="64">
        <v>342725622.5</v>
      </c>
      <c r="E11" s="64">
        <v>430495194.48000002</v>
      </c>
      <c r="F11" s="201" t="s">
        <v>450</v>
      </c>
      <c r="G11" s="142" t="s">
        <v>397</v>
      </c>
      <c r="H11" s="68" t="s">
        <v>160</v>
      </c>
      <c r="I11" s="66">
        <v>1713628.11</v>
      </c>
      <c r="J11" s="154">
        <f>+I11</f>
        <v>1713628.11</v>
      </c>
      <c r="K11" s="66"/>
      <c r="L11" s="64"/>
      <c r="M11" s="64"/>
      <c r="N11" s="65"/>
      <c r="O11" s="65"/>
    </row>
    <row r="12" spans="1:15" s="129" customFormat="1" ht="12.75" customHeight="1" x14ac:dyDescent="0.2">
      <c r="A12" s="70"/>
      <c r="B12" s="63"/>
      <c r="C12" s="64"/>
      <c r="D12" s="64"/>
      <c r="E12" s="64"/>
      <c r="F12" s="201" t="s">
        <v>450</v>
      </c>
      <c r="G12" s="142" t="s">
        <v>397</v>
      </c>
      <c r="H12" s="68" t="s">
        <v>160</v>
      </c>
      <c r="I12" s="66">
        <f>5141034.34-150</f>
        <v>5140884.34</v>
      </c>
      <c r="J12" s="154">
        <f>+I12</f>
        <v>5140884.34</v>
      </c>
      <c r="K12" s="66"/>
      <c r="L12" s="64"/>
      <c r="M12" s="64"/>
      <c r="N12" s="65"/>
      <c r="O12" s="165"/>
    </row>
    <row r="13" spans="1:15" s="129" customFormat="1" ht="12.75" x14ac:dyDescent="0.2">
      <c r="A13" s="70"/>
      <c r="B13" s="63"/>
      <c r="C13" s="64"/>
      <c r="D13" s="64"/>
      <c r="E13" s="64"/>
      <c r="F13" s="201" t="s">
        <v>450</v>
      </c>
      <c r="G13" s="142" t="s">
        <v>399</v>
      </c>
      <c r="H13" s="68" t="s">
        <v>154</v>
      </c>
      <c r="I13" s="66">
        <v>137090249</v>
      </c>
      <c r="J13" s="66">
        <f>+I13</f>
        <v>137090249</v>
      </c>
      <c r="K13" s="66"/>
      <c r="L13" s="64"/>
      <c r="M13" s="64"/>
      <c r="N13" s="65"/>
      <c r="O13" s="165"/>
    </row>
    <row r="14" spans="1:15" s="129" customFormat="1" ht="12.75" customHeight="1" x14ac:dyDescent="0.2">
      <c r="A14" s="70"/>
      <c r="B14" s="63"/>
      <c r="C14" s="64"/>
      <c r="D14" s="64"/>
      <c r="E14" s="64"/>
      <c r="F14" s="201" t="s">
        <v>450</v>
      </c>
      <c r="G14" s="142" t="s">
        <v>397</v>
      </c>
      <c r="H14" s="68" t="s">
        <v>160</v>
      </c>
      <c r="I14" s="66">
        <v>36466413.590000004</v>
      </c>
      <c r="J14" s="154">
        <f>+I14</f>
        <v>36466413.590000004</v>
      </c>
      <c r="K14" s="66"/>
      <c r="L14" s="64"/>
      <c r="M14" s="64"/>
      <c r="N14" s="65"/>
      <c r="O14" s="165"/>
    </row>
    <row r="15" spans="1:15" s="129" customFormat="1" ht="12.75" customHeight="1" x14ac:dyDescent="0.2">
      <c r="A15" s="70"/>
      <c r="B15" s="63"/>
      <c r="C15" s="64"/>
      <c r="D15" s="64"/>
      <c r="E15" s="64"/>
      <c r="F15" s="201" t="s">
        <v>450</v>
      </c>
      <c r="G15" s="142" t="s">
        <v>409</v>
      </c>
      <c r="H15" s="68" t="s">
        <v>155</v>
      </c>
      <c r="I15" s="66">
        <v>198000</v>
      </c>
      <c r="J15" s="66">
        <f>+I15</f>
        <v>198000</v>
      </c>
      <c r="K15" s="66"/>
      <c r="L15" s="64"/>
      <c r="M15" s="64"/>
      <c r="N15" s="65"/>
      <c r="O15" s="165"/>
    </row>
    <row r="16" spans="1:15" s="129" customFormat="1" ht="12.75" customHeight="1" x14ac:dyDescent="0.2">
      <c r="A16" s="70"/>
      <c r="B16" s="63"/>
      <c r="C16" s="64"/>
      <c r="D16" s="64"/>
      <c r="E16" s="64"/>
      <c r="F16" s="201" t="s">
        <v>450</v>
      </c>
      <c r="G16" s="142" t="s">
        <v>409</v>
      </c>
      <c r="H16" s="68" t="s">
        <v>159</v>
      </c>
      <c r="I16" s="66">
        <v>5315121.08</v>
      </c>
      <c r="J16" s="66"/>
      <c r="K16" s="66">
        <f>+I16</f>
        <v>5315121.08</v>
      </c>
      <c r="L16" s="64"/>
      <c r="M16" s="64"/>
      <c r="N16" s="65"/>
      <c r="O16" s="165"/>
    </row>
    <row r="17" spans="1:15" s="129" customFormat="1" ht="12.75" customHeight="1" x14ac:dyDescent="0.2">
      <c r="A17" s="70"/>
      <c r="B17" s="63"/>
      <c r="C17" s="64"/>
      <c r="D17" s="64"/>
      <c r="E17" s="64"/>
      <c r="F17" s="201" t="s">
        <v>450</v>
      </c>
      <c r="G17" s="142" t="s">
        <v>397</v>
      </c>
      <c r="H17" s="68" t="s">
        <v>160</v>
      </c>
      <c r="I17" s="66">
        <v>3030440.57</v>
      </c>
      <c r="J17" s="154">
        <f>+I17</f>
        <v>3030440.57</v>
      </c>
      <c r="K17" s="66"/>
      <c r="L17" s="64"/>
      <c r="M17" s="64"/>
      <c r="N17" s="65"/>
      <c r="O17" s="165"/>
    </row>
    <row r="18" spans="1:15" s="129" customFormat="1" ht="12.75" customHeight="1" x14ac:dyDescent="0.2">
      <c r="A18" s="70"/>
      <c r="B18" s="63"/>
      <c r="C18" s="64"/>
      <c r="D18" s="64"/>
      <c r="E18" s="64"/>
      <c r="F18" s="201" t="s">
        <v>450</v>
      </c>
      <c r="G18" s="142" t="s">
        <v>397</v>
      </c>
      <c r="H18" s="68" t="s">
        <v>162</v>
      </c>
      <c r="I18" s="66">
        <v>4663279.05</v>
      </c>
      <c r="J18" s="154"/>
      <c r="K18" s="66"/>
      <c r="L18" s="154">
        <f>+I18</f>
        <v>4663279.05</v>
      </c>
      <c r="M18" s="64"/>
      <c r="N18" s="65"/>
      <c r="O18" s="165"/>
    </row>
    <row r="19" spans="1:15" s="129" customFormat="1" ht="12.75" customHeight="1" x14ac:dyDescent="0.2">
      <c r="A19" s="70"/>
      <c r="B19" s="63"/>
      <c r="C19" s="64"/>
      <c r="D19" s="64"/>
      <c r="E19" s="64"/>
      <c r="F19" s="201" t="s">
        <v>450</v>
      </c>
      <c r="G19" s="142" t="s">
        <v>397</v>
      </c>
      <c r="H19" s="68" t="s">
        <v>160</v>
      </c>
      <c r="I19" s="66">
        <v>1924736.76</v>
      </c>
      <c r="J19" s="154">
        <f>+I19</f>
        <v>1924736.76</v>
      </c>
      <c r="K19" s="66"/>
      <c r="L19" s="64"/>
      <c r="M19" s="64"/>
      <c r="N19" s="65"/>
      <c r="O19" s="165"/>
    </row>
    <row r="20" spans="1:15" s="129" customFormat="1" ht="12.75" x14ac:dyDescent="0.2">
      <c r="A20" s="70"/>
      <c r="B20" s="63"/>
      <c r="C20" s="64"/>
      <c r="D20" s="64"/>
      <c r="E20" s="64"/>
      <c r="F20" s="201" t="s">
        <v>449</v>
      </c>
      <c r="G20" s="142" t="s">
        <v>410</v>
      </c>
      <c r="H20" s="68" t="s">
        <v>154</v>
      </c>
      <c r="I20" s="66">
        <v>7968805.3399999999</v>
      </c>
      <c r="J20" s="66">
        <f>+I20</f>
        <v>7968805.3399999999</v>
      </c>
      <c r="K20" s="66"/>
      <c r="L20" s="64"/>
      <c r="M20" s="64"/>
      <c r="N20" s="65"/>
      <c r="O20" s="165"/>
    </row>
    <row r="21" spans="1:15" s="129" customFormat="1" ht="12.75" customHeight="1" x14ac:dyDescent="0.2">
      <c r="A21" s="70"/>
      <c r="B21" s="63"/>
      <c r="C21" s="64"/>
      <c r="D21" s="64"/>
      <c r="E21" s="64"/>
      <c r="F21" s="201" t="s">
        <v>449</v>
      </c>
      <c r="G21" s="142" t="s">
        <v>410</v>
      </c>
      <c r="H21" s="68" t="s">
        <v>155</v>
      </c>
      <c r="I21" s="66">
        <v>625085.22</v>
      </c>
      <c r="J21" s="66">
        <f>+I21</f>
        <v>625085.22</v>
      </c>
      <c r="K21" s="66"/>
      <c r="L21" s="64"/>
      <c r="M21" s="64"/>
      <c r="N21" s="65"/>
      <c r="O21" s="165"/>
    </row>
    <row r="22" spans="1:15" s="129" customFormat="1" ht="12.75" x14ac:dyDescent="0.2">
      <c r="A22" s="70"/>
      <c r="B22" s="63"/>
      <c r="C22" s="64"/>
      <c r="D22" s="64"/>
      <c r="E22" s="64"/>
      <c r="F22" s="201" t="s">
        <v>449</v>
      </c>
      <c r="G22" s="142" t="s">
        <v>411</v>
      </c>
      <c r="H22" s="68" t="s">
        <v>154</v>
      </c>
      <c r="I22" s="66">
        <v>13819119.380000001</v>
      </c>
      <c r="J22" s="66">
        <f t="shared" ref="J22:J33" si="0">+I22</f>
        <v>13819119.380000001</v>
      </c>
      <c r="K22" s="66"/>
      <c r="L22" s="64"/>
      <c r="M22" s="64"/>
      <c r="N22" s="65"/>
      <c r="O22" s="165"/>
    </row>
    <row r="23" spans="1:15" s="129" customFormat="1" ht="12.75" customHeight="1" x14ac:dyDescent="0.2">
      <c r="A23" s="70"/>
      <c r="B23" s="63"/>
      <c r="C23" s="64"/>
      <c r="D23" s="64"/>
      <c r="E23" s="64"/>
      <c r="F23" s="201" t="s">
        <v>449</v>
      </c>
      <c r="G23" s="142" t="s">
        <v>411</v>
      </c>
      <c r="H23" s="68" t="s">
        <v>155</v>
      </c>
      <c r="I23" s="66">
        <v>1732146.72</v>
      </c>
      <c r="J23" s="66">
        <f t="shared" si="0"/>
        <v>1732146.72</v>
      </c>
      <c r="K23" s="66"/>
      <c r="L23" s="64"/>
      <c r="M23" s="64"/>
      <c r="N23" s="65"/>
      <c r="O23" s="165"/>
    </row>
    <row r="24" spans="1:15" s="129" customFormat="1" ht="12.75" x14ac:dyDescent="0.2">
      <c r="A24" s="70"/>
      <c r="B24" s="63"/>
      <c r="C24" s="64"/>
      <c r="D24" s="64"/>
      <c r="E24" s="64"/>
      <c r="F24" s="201" t="s">
        <v>449</v>
      </c>
      <c r="G24" s="142" t="s">
        <v>412</v>
      </c>
      <c r="H24" s="68" t="s">
        <v>154</v>
      </c>
      <c r="I24" s="66">
        <v>16623267.970000001</v>
      </c>
      <c r="J24" s="66">
        <f t="shared" si="0"/>
        <v>16623267.970000001</v>
      </c>
      <c r="K24" s="66"/>
      <c r="L24" s="64"/>
      <c r="M24" s="64"/>
      <c r="N24" s="65"/>
      <c r="O24" s="165"/>
    </row>
    <row r="25" spans="1:15" s="129" customFormat="1" ht="12.75" customHeight="1" x14ac:dyDescent="0.2">
      <c r="A25" s="70"/>
      <c r="B25" s="63"/>
      <c r="C25" s="64"/>
      <c r="D25" s="64"/>
      <c r="E25" s="64"/>
      <c r="F25" s="201" t="s">
        <v>449</v>
      </c>
      <c r="G25" s="142" t="s">
        <v>412</v>
      </c>
      <c r="H25" s="68" t="s">
        <v>155</v>
      </c>
      <c r="I25" s="66">
        <v>366567.91</v>
      </c>
      <c r="J25" s="66">
        <f t="shared" si="0"/>
        <v>366567.91</v>
      </c>
      <c r="K25" s="66"/>
      <c r="L25" s="64"/>
      <c r="M25" s="64"/>
      <c r="N25" s="65"/>
      <c r="O25" s="165"/>
    </row>
    <row r="26" spans="1:15" s="129" customFormat="1" ht="12.75" x14ac:dyDescent="0.2">
      <c r="A26" s="70"/>
      <c r="B26" s="63"/>
      <c r="C26" s="64"/>
      <c r="D26" s="64"/>
      <c r="E26" s="64"/>
      <c r="F26" s="201" t="s">
        <v>449</v>
      </c>
      <c r="G26" s="142" t="s">
        <v>413</v>
      </c>
      <c r="H26" s="68" t="s">
        <v>154</v>
      </c>
      <c r="I26" s="66">
        <v>6935782.7000000002</v>
      </c>
      <c r="J26" s="66">
        <f t="shared" si="0"/>
        <v>6935782.7000000002</v>
      </c>
      <c r="K26" s="66"/>
      <c r="L26" s="64"/>
      <c r="M26" s="64"/>
      <c r="N26" s="65"/>
      <c r="O26" s="165"/>
    </row>
    <row r="27" spans="1:15" s="129" customFormat="1" ht="12.75" customHeight="1" x14ac:dyDescent="0.2">
      <c r="A27" s="70"/>
      <c r="B27" s="63"/>
      <c r="C27" s="64"/>
      <c r="D27" s="64"/>
      <c r="E27" s="64"/>
      <c r="F27" s="201" t="s">
        <v>449</v>
      </c>
      <c r="G27" s="142" t="s">
        <v>413</v>
      </c>
      <c r="H27" s="68" t="s">
        <v>155</v>
      </c>
      <c r="I27" s="66">
        <v>109699.58</v>
      </c>
      <c r="J27" s="66">
        <f t="shared" si="0"/>
        <v>109699.58</v>
      </c>
      <c r="K27" s="66"/>
      <c r="L27" s="64"/>
      <c r="M27" s="64"/>
      <c r="N27" s="65"/>
      <c r="O27" s="165"/>
    </row>
    <row r="28" spans="1:15" s="129" customFormat="1" ht="12.75" customHeight="1" x14ac:dyDescent="0.2">
      <c r="A28" s="70"/>
      <c r="B28" s="63"/>
      <c r="C28" s="64"/>
      <c r="D28" s="64"/>
      <c r="E28" s="64"/>
      <c r="F28" s="201" t="s">
        <v>449</v>
      </c>
      <c r="G28" s="142" t="s">
        <v>413</v>
      </c>
      <c r="H28" s="68" t="s">
        <v>156</v>
      </c>
      <c r="I28" s="66">
        <v>2846150</v>
      </c>
      <c r="J28" s="66">
        <f t="shared" si="0"/>
        <v>2846150</v>
      </c>
      <c r="K28" s="66"/>
      <c r="L28" s="64"/>
      <c r="M28" s="64"/>
      <c r="N28" s="65"/>
      <c r="O28" s="165"/>
    </row>
    <row r="29" spans="1:15" s="129" customFormat="1" ht="12.75" x14ac:dyDescent="0.2">
      <c r="A29" s="70"/>
      <c r="B29" s="63"/>
      <c r="C29" s="64"/>
      <c r="D29" s="64"/>
      <c r="E29" s="64"/>
      <c r="F29" s="201" t="s">
        <v>449</v>
      </c>
      <c r="G29" s="142" t="s">
        <v>414</v>
      </c>
      <c r="H29" s="68" t="s">
        <v>154</v>
      </c>
      <c r="I29" s="66">
        <v>21544230.77</v>
      </c>
      <c r="J29" s="66">
        <f t="shared" si="0"/>
        <v>21544230.77</v>
      </c>
      <c r="K29" s="66"/>
      <c r="L29" s="64"/>
      <c r="M29" s="64"/>
      <c r="N29" s="65"/>
      <c r="O29" s="165"/>
    </row>
    <row r="30" spans="1:15" s="129" customFormat="1" ht="12.75" customHeight="1" x14ac:dyDescent="0.2">
      <c r="A30" s="70"/>
      <c r="B30" s="63"/>
      <c r="C30" s="64"/>
      <c r="D30" s="64"/>
      <c r="E30" s="64"/>
      <c r="F30" s="201" t="s">
        <v>449</v>
      </c>
      <c r="G30" s="142" t="s">
        <v>414</v>
      </c>
      <c r="H30" s="68" t="s">
        <v>155</v>
      </c>
      <c r="I30" s="66">
        <v>331053.06</v>
      </c>
      <c r="J30" s="66">
        <f t="shared" si="0"/>
        <v>331053.06</v>
      </c>
      <c r="K30" s="66"/>
      <c r="L30" s="64"/>
      <c r="M30" s="64"/>
      <c r="N30" s="65"/>
      <c r="O30" s="165"/>
    </row>
    <row r="31" spans="1:15" s="129" customFormat="1" ht="12.75" customHeight="1" x14ac:dyDescent="0.2">
      <c r="A31" s="70"/>
      <c r="B31" s="63"/>
      <c r="C31" s="64"/>
      <c r="D31" s="64"/>
      <c r="E31" s="64"/>
      <c r="F31" s="201" t="s">
        <v>449</v>
      </c>
      <c r="G31" s="142" t="s">
        <v>414</v>
      </c>
      <c r="H31" s="68" t="s">
        <v>156</v>
      </c>
      <c r="I31" s="66">
        <v>344392</v>
      </c>
      <c r="J31" s="66">
        <f t="shared" si="0"/>
        <v>344392</v>
      </c>
      <c r="K31" s="66"/>
      <c r="L31" s="64"/>
      <c r="M31" s="64"/>
      <c r="N31" s="65"/>
      <c r="O31" s="165"/>
    </row>
    <row r="32" spans="1:15" s="129" customFormat="1" ht="12.75" x14ac:dyDescent="0.2">
      <c r="A32" s="70"/>
      <c r="B32" s="63"/>
      <c r="C32" s="64"/>
      <c r="D32" s="64"/>
      <c r="E32" s="64"/>
      <c r="F32" s="201" t="s">
        <v>449</v>
      </c>
      <c r="G32" s="142" t="s">
        <v>415</v>
      </c>
      <c r="H32" s="68" t="s">
        <v>154</v>
      </c>
      <c r="I32" s="66">
        <v>26992819.48</v>
      </c>
      <c r="J32" s="66">
        <f t="shared" si="0"/>
        <v>26992819.48</v>
      </c>
      <c r="K32" s="66"/>
      <c r="L32" s="64"/>
      <c r="M32" s="64"/>
      <c r="N32" s="65"/>
      <c r="O32" s="165"/>
    </row>
    <row r="33" spans="1:15" s="129" customFormat="1" ht="12.75" customHeight="1" x14ac:dyDescent="0.2">
      <c r="A33" s="70"/>
      <c r="B33" s="63"/>
      <c r="C33" s="64"/>
      <c r="D33" s="64"/>
      <c r="E33" s="64"/>
      <c r="F33" s="201" t="s">
        <v>451</v>
      </c>
      <c r="G33" s="142" t="s">
        <v>416</v>
      </c>
      <c r="H33" s="68" t="s">
        <v>155</v>
      </c>
      <c r="I33" s="66">
        <v>240000</v>
      </c>
      <c r="J33" s="66">
        <f t="shared" si="0"/>
        <v>240000</v>
      </c>
      <c r="K33" s="66"/>
      <c r="L33" s="64"/>
      <c r="M33" s="64"/>
      <c r="N33" s="65"/>
      <c r="O33" s="165"/>
    </row>
    <row r="34" spans="1:15" s="144" customFormat="1" ht="15.75" customHeight="1" x14ac:dyDescent="0.2">
      <c r="A34" s="70"/>
      <c r="B34" s="63"/>
      <c r="C34" s="64"/>
      <c r="D34" s="64"/>
      <c r="E34" s="64"/>
      <c r="F34" s="202"/>
      <c r="G34" s="156"/>
      <c r="H34" s="157"/>
      <c r="I34" s="161">
        <f>SUM(I11:I33)</f>
        <v>296021872.63</v>
      </c>
      <c r="J34" s="161">
        <f t="shared" ref="J34:L34" si="1">SUM(J11:J33)</f>
        <v>286043472.5</v>
      </c>
      <c r="K34" s="161">
        <f t="shared" si="1"/>
        <v>5315121.08</v>
      </c>
      <c r="L34" s="161">
        <f t="shared" si="1"/>
        <v>4663279.05</v>
      </c>
      <c r="M34" s="161"/>
      <c r="N34" s="161">
        <f>+E11-I34</f>
        <v>134473321.85000002</v>
      </c>
      <c r="O34" s="210" t="s">
        <v>438</v>
      </c>
    </row>
    <row r="35" spans="1:15" ht="12.75" customHeight="1" x14ac:dyDescent="0.2">
      <c r="A35" s="70" t="s">
        <v>263</v>
      </c>
      <c r="B35" s="63" t="s">
        <v>265</v>
      </c>
      <c r="C35" s="64"/>
      <c r="D35" s="64">
        <v>10000</v>
      </c>
      <c r="E35" s="64">
        <v>5203.0300000000007</v>
      </c>
      <c r="F35" s="201" t="s">
        <v>450</v>
      </c>
      <c r="G35" s="142" t="s">
        <v>397</v>
      </c>
      <c r="H35" s="68" t="s">
        <v>160</v>
      </c>
      <c r="I35" s="66">
        <v>150</v>
      </c>
      <c r="J35" s="154">
        <f>+I35</f>
        <v>150</v>
      </c>
      <c r="K35" s="66"/>
      <c r="L35" s="66"/>
      <c r="M35" s="66"/>
      <c r="N35" s="65"/>
      <c r="O35" s="165"/>
    </row>
    <row r="36" spans="1:15" s="143" customFormat="1" ht="12.75" x14ac:dyDescent="0.2">
      <c r="A36" s="70"/>
      <c r="B36" s="63"/>
      <c r="C36" s="64"/>
      <c r="D36" s="64"/>
      <c r="E36" s="64"/>
      <c r="F36" s="201" t="s">
        <v>450</v>
      </c>
      <c r="G36" s="142" t="s">
        <v>399</v>
      </c>
      <c r="H36" s="68" t="s">
        <v>154</v>
      </c>
      <c r="I36" s="66">
        <v>2753.03</v>
      </c>
      <c r="J36" s="154">
        <f>+I36</f>
        <v>2753.03</v>
      </c>
      <c r="K36" s="66"/>
      <c r="L36" s="66"/>
      <c r="M36" s="66"/>
      <c r="N36" s="65"/>
      <c r="O36" s="165"/>
    </row>
    <row r="37" spans="1:15" s="144" customFormat="1" ht="12.75" x14ac:dyDescent="0.2">
      <c r="A37" s="70"/>
      <c r="B37" s="63"/>
      <c r="C37" s="64"/>
      <c r="D37" s="64"/>
      <c r="E37" s="64"/>
      <c r="F37" s="202"/>
      <c r="G37" s="156"/>
      <c r="H37" s="157"/>
      <c r="I37" s="161">
        <f>SUM(I35:I36)</f>
        <v>2903.03</v>
      </c>
      <c r="J37" s="161">
        <f t="shared" ref="J37:L37" si="2">SUM(J35:J36)</f>
        <v>2903.03</v>
      </c>
      <c r="K37" s="161">
        <f t="shared" si="2"/>
        <v>0</v>
      </c>
      <c r="L37" s="161">
        <f t="shared" si="2"/>
        <v>0</v>
      </c>
      <c r="M37" s="158"/>
      <c r="N37" s="161">
        <f>+E35-I37</f>
        <v>2300.0000000000005</v>
      </c>
      <c r="O37" s="195" t="s">
        <v>439</v>
      </c>
    </row>
    <row r="38" spans="1:15" ht="12.75" x14ac:dyDescent="0.2">
      <c r="A38" s="70" t="s">
        <v>266</v>
      </c>
      <c r="B38" s="63" t="s">
        <v>267</v>
      </c>
      <c r="C38" s="64"/>
      <c r="D38" s="64">
        <v>20739986.940000001</v>
      </c>
      <c r="E38" s="64">
        <v>18210390.539999999</v>
      </c>
      <c r="F38" s="201" t="s">
        <v>449</v>
      </c>
      <c r="G38" s="142" t="s">
        <v>415</v>
      </c>
      <c r="H38" s="68" t="s">
        <v>154</v>
      </c>
      <c r="I38" s="66">
        <v>10018349.470000001</v>
      </c>
      <c r="J38" s="66">
        <f>+I38</f>
        <v>10018349.470000001</v>
      </c>
      <c r="K38" s="64"/>
      <c r="L38" s="64"/>
      <c r="M38" s="64"/>
      <c r="N38" s="200"/>
      <c r="O38" s="165"/>
    </row>
    <row r="39" spans="1:15" s="143" customFormat="1" ht="12.75" x14ac:dyDescent="0.2">
      <c r="A39" s="70"/>
      <c r="B39" s="63"/>
      <c r="C39" s="64"/>
      <c r="D39" s="64"/>
      <c r="E39" s="64"/>
      <c r="F39" s="201" t="s">
        <v>451</v>
      </c>
      <c r="G39" s="142" t="s">
        <v>417</v>
      </c>
      <c r="H39" s="68" t="s">
        <v>154</v>
      </c>
      <c r="I39" s="66">
        <v>8192041.0700000003</v>
      </c>
      <c r="J39" s="66">
        <f>+I39</f>
        <v>8192041.0700000003</v>
      </c>
      <c r="K39" s="64"/>
      <c r="L39" s="64"/>
      <c r="M39" s="64"/>
      <c r="N39" s="200"/>
      <c r="O39" s="165"/>
    </row>
    <row r="40" spans="1:15" s="144" customFormat="1" ht="12.75" x14ac:dyDescent="0.2">
      <c r="A40" s="70"/>
      <c r="B40" s="63"/>
      <c r="C40" s="64"/>
      <c r="D40" s="64"/>
      <c r="E40" s="64"/>
      <c r="F40" s="202"/>
      <c r="G40" s="156"/>
      <c r="H40" s="157"/>
      <c r="I40" s="161">
        <f>SUM(I38:I39)</f>
        <v>18210390.539999999</v>
      </c>
      <c r="J40" s="161">
        <f t="shared" ref="J40:L40" si="3">SUM(J38:J39)</f>
        <v>18210390.539999999</v>
      </c>
      <c r="K40" s="161">
        <f t="shared" si="3"/>
        <v>0</v>
      </c>
      <c r="L40" s="161">
        <f t="shared" si="3"/>
        <v>0</v>
      </c>
      <c r="M40" s="159"/>
      <c r="N40" s="161">
        <f>+E38-I40</f>
        <v>0</v>
      </c>
      <c r="O40" s="165"/>
    </row>
    <row r="41" spans="1:15" ht="12.75" x14ac:dyDescent="0.2">
      <c r="A41" s="70" t="s">
        <v>268</v>
      </c>
      <c r="B41" s="63" t="s">
        <v>269</v>
      </c>
      <c r="C41" s="64"/>
      <c r="D41" s="64">
        <v>122400000</v>
      </c>
      <c r="E41" s="164">
        <v>151262502.41999999</v>
      </c>
      <c r="F41" s="201" t="s">
        <v>450</v>
      </c>
      <c r="G41" s="142" t="s">
        <v>399</v>
      </c>
      <c r="H41" s="68" t="s">
        <v>154</v>
      </c>
      <c r="I41" s="66">
        <v>92983350.359999999</v>
      </c>
      <c r="J41" s="64">
        <f>+I41</f>
        <v>92983350.359999999</v>
      </c>
      <c r="K41" s="64"/>
      <c r="L41" s="66"/>
      <c r="M41" s="64"/>
      <c r="N41" s="200"/>
      <c r="O41" s="165"/>
    </row>
    <row r="42" spans="1:15" s="143" customFormat="1" ht="12.75" x14ac:dyDescent="0.2">
      <c r="A42" s="70"/>
      <c r="B42" s="63"/>
      <c r="C42" s="64"/>
      <c r="D42" s="64"/>
      <c r="E42" s="164"/>
      <c r="F42" s="201" t="s">
        <v>450</v>
      </c>
      <c r="G42" s="142" t="s">
        <v>418</v>
      </c>
      <c r="H42" s="68" t="s">
        <v>154</v>
      </c>
      <c r="I42" s="66">
        <v>9489173.7300000004</v>
      </c>
      <c r="J42" s="64">
        <f t="shared" ref="J42:J43" si="4">+I42</f>
        <v>9489173.7300000004</v>
      </c>
      <c r="K42" s="64"/>
      <c r="L42" s="66"/>
      <c r="M42" s="64"/>
      <c r="N42" s="200"/>
      <c r="O42" s="165"/>
    </row>
    <row r="43" spans="1:15" s="143" customFormat="1" ht="12.75" customHeight="1" x14ac:dyDescent="0.2">
      <c r="A43" s="70"/>
      <c r="B43" s="63"/>
      <c r="C43" s="64"/>
      <c r="D43" s="64"/>
      <c r="E43" s="164"/>
      <c r="F43" s="201" t="s">
        <v>450</v>
      </c>
      <c r="G43" s="142" t="s">
        <v>418</v>
      </c>
      <c r="H43" s="68" t="s">
        <v>155</v>
      </c>
      <c r="I43" s="66">
        <v>385497.82</v>
      </c>
      <c r="J43" s="64">
        <f t="shared" si="4"/>
        <v>385497.82</v>
      </c>
      <c r="K43" s="64"/>
      <c r="L43" s="66"/>
      <c r="M43" s="64"/>
      <c r="N43" s="200"/>
      <c r="O43" s="165"/>
    </row>
    <row r="44" spans="1:15" s="143" customFormat="1" ht="12.75" customHeight="1" x14ac:dyDescent="0.2">
      <c r="A44" s="70"/>
      <c r="B44" s="63"/>
      <c r="C44" s="64"/>
      <c r="D44" s="64"/>
      <c r="E44" s="164"/>
      <c r="F44" s="201" t="s">
        <v>450</v>
      </c>
      <c r="G44" s="142" t="s">
        <v>418</v>
      </c>
      <c r="H44" s="68" t="s">
        <v>159</v>
      </c>
      <c r="I44" s="66">
        <v>1050141.3400000001</v>
      </c>
      <c r="J44" s="70"/>
      <c r="K44" s="66">
        <f>+I44</f>
        <v>1050141.3400000001</v>
      </c>
      <c r="L44" s="66"/>
      <c r="M44" s="64"/>
      <c r="N44" s="200"/>
      <c r="O44" s="165"/>
    </row>
    <row r="45" spans="1:15" s="143" customFormat="1" ht="12.75" customHeight="1" x14ac:dyDescent="0.2">
      <c r="A45" s="70"/>
      <c r="B45" s="63"/>
      <c r="C45" s="64"/>
      <c r="D45" s="64"/>
      <c r="E45" s="164"/>
      <c r="F45" s="201" t="s">
        <v>450</v>
      </c>
      <c r="G45" s="142" t="s">
        <v>397</v>
      </c>
      <c r="H45" s="68" t="s">
        <v>160</v>
      </c>
      <c r="I45" s="66">
        <v>4836000</v>
      </c>
      <c r="J45" s="154">
        <f>+I45</f>
        <v>4836000</v>
      </c>
      <c r="K45" s="64"/>
      <c r="L45" s="66"/>
      <c r="M45" s="64"/>
      <c r="N45" s="200"/>
      <c r="O45" s="165"/>
    </row>
    <row r="46" spans="1:15" s="144" customFormat="1" ht="38.25" x14ac:dyDescent="0.2">
      <c r="A46" s="70"/>
      <c r="B46" s="63"/>
      <c r="C46" s="64"/>
      <c r="D46" s="64"/>
      <c r="E46" s="164"/>
      <c r="F46" s="202"/>
      <c r="G46" s="156"/>
      <c r="H46" s="157"/>
      <c r="I46" s="161">
        <f>SUM(I41:I45)</f>
        <v>108744163.25</v>
      </c>
      <c r="J46" s="161">
        <f t="shared" ref="J46:L46" si="5">SUM(J41:J45)</f>
        <v>107694021.91</v>
      </c>
      <c r="K46" s="161">
        <f t="shared" si="5"/>
        <v>1050141.3400000001</v>
      </c>
      <c r="L46" s="161">
        <f t="shared" si="5"/>
        <v>0</v>
      </c>
      <c r="M46" s="159"/>
      <c r="N46" s="161">
        <f>+E41-I46</f>
        <v>42518339.169999987</v>
      </c>
      <c r="O46" s="210" t="s">
        <v>440</v>
      </c>
    </row>
    <row r="47" spans="1:15" ht="12.75" x14ac:dyDescent="0.2">
      <c r="A47" s="70" t="s">
        <v>270</v>
      </c>
      <c r="B47" s="63" t="s">
        <v>271</v>
      </c>
      <c r="C47" s="64"/>
      <c r="D47" s="64">
        <v>26000000</v>
      </c>
      <c r="E47" s="64">
        <v>39944991.609999999</v>
      </c>
      <c r="F47" s="201" t="s">
        <v>449</v>
      </c>
      <c r="G47" s="142" t="s">
        <v>415</v>
      </c>
      <c r="H47" s="68" t="s">
        <v>154</v>
      </c>
      <c r="I47" s="66">
        <v>26000000</v>
      </c>
      <c r="J47" s="66">
        <f>+I47</f>
        <v>26000000</v>
      </c>
      <c r="K47" s="66"/>
      <c r="L47" s="66"/>
      <c r="M47" s="66"/>
      <c r="N47" s="200"/>
      <c r="O47" s="165"/>
    </row>
    <row r="48" spans="1:15" s="144" customFormat="1" ht="12.75" x14ac:dyDescent="0.2">
      <c r="A48" s="70"/>
      <c r="B48" s="63"/>
      <c r="C48" s="64"/>
      <c r="D48" s="64"/>
      <c r="E48" s="64"/>
      <c r="F48" s="202"/>
      <c r="G48" s="156"/>
      <c r="H48" s="157"/>
      <c r="I48" s="161">
        <f>SUM(I47)</f>
        <v>26000000</v>
      </c>
      <c r="J48" s="161">
        <f t="shared" ref="J48:L48" si="6">SUM(J47)</f>
        <v>26000000</v>
      </c>
      <c r="K48" s="161">
        <f t="shared" si="6"/>
        <v>0</v>
      </c>
      <c r="L48" s="161">
        <f t="shared" si="6"/>
        <v>0</v>
      </c>
      <c r="M48" s="158"/>
      <c r="N48" s="161">
        <f>+E47-I48</f>
        <v>13944991.609999999</v>
      </c>
      <c r="O48" s="195" t="s">
        <v>439</v>
      </c>
    </row>
    <row r="49" spans="1:15" ht="12.75" customHeight="1" x14ac:dyDescent="0.2">
      <c r="A49" s="70" t="s">
        <v>272</v>
      </c>
      <c r="B49" s="63" t="s">
        <v>273</v>
      </c>
      <c r="C49" s="64"/>
      <c r="D49" s="64">
        <v>0</v>
      </c>
      <c r="E49" s="64">
        <v>24000</v>
      </c>
      <c r="F49" s="201"/>
      <c r="G49" s="142"/>
      <c r="H49" s="68"/>
      <c r="I49" s="66">
        <v>0</v>
      </c>
      <c r="J49" s="66"/>
      <c r="K49" s="66"/>
      <c r="L49" s="66"/>
      <c r="M49" s="66"/>
      <c r="N49" s="200"/>
      <c r="O49" s="165"/>
    </row>
    <row r="50" spans="1:15" s="144" customFormat="1" ht="12.75" customHeight="1" x14ac:dyDescent="0.2">
      <c r="A50" s="70"/>
      <c r="B50" s="63"/>
      <c r="C50" s="64"/>
      <c r="D50" s="64"/>
      <c r="E50" s="64"/>
      <c r="F50" s="202"/>
      <c r="G50" s="156"/>
      <c r="H50" s="157"/>
      <c r="I50" s="161">
        <f>SUM(I49)</f>
        <v>0</v>
      </c>
      <c r="J50" s="161">
        <f t="shared" ref="J50:L50" si="7">SUM(J49)</f>
        <v>0</v>
      </c>
      <c r="K50" s="161">
        <f t="shared" si="7"/>
        <v>0</v>
      </c>
      <c r="L50" s="161">
        <f t="shared" si="7"/>
        <v>0</v>
      </c>
      <c r="M50" s="158"/>
      <c r="N50" s="161">
        <f>+E49-I50</f>
        <v>24000</v>
      </c>
      <c r="O50" s="210" t="s">
        <v>441</v>
      </c>
    </row>
    <row r="51" spans="1:15" ht="12.75" customHeight="1" x14ac:dyDescent="0.2">
      <c r="A51" s="70" t="s">
        <v>274</v>
      </c>
      <c r="B51" s="63" t="s">
        <v>275</v>
      </c>
      <c r="C51" s="64"/>
      <c r="D51" s="64">
        <v>0</v>
      </c>
      <c r="E51" s="64">
        <v>20000</v>
      </c>
      <c r="F51" s="201"/>
      <c r="G51" s="142"/>
      <c r="H51" s="68"/>
      <c r="I51" s="66">
        <v>0</v>
      </c>
      <c r="J51" s="66"/>
      <c r="K51" s="66"/>
      <c r="L51" s="66"/>
      <c r="M51" s="66"/>
      <c r="N51" s="200"/>
      <c r="O51" s="195"/>
    </row>
    <row r="52" spans="1:15" s="144" customFormat="1" ht="12.75" customHeight="1" x14ac:dyDescent="0.2">
      <c r="A52" s="70"/>
      <c r="B52" s="63"/>
      <c r="C52" s="64"/>
      <c r="D52" s="64"/>
      <c r="E52" s="64"/>
      <c r="F52" s="202"/>
      <c r="G52" s="156"/>
      <c r="H52" s="157"/>
      <c r="I52" s="161">
        <f>SUM(I51)</f>
        <v>0</v>
      </c>
      <c r="J52" s="161">
        <f t="shared" ref="J52:L52" si="8">SUM(J51)</f>
        <v>0</v>
      </c>
      <c r="K52" s="161">
        <f t="shared" si="8"/>
        <v>0</v>
      </c>
      <c r="L52" s="161">
        <f t="shared" si="8"/>
        <v>0</v>
      </c>
      <c r="M52" s="158"/>
      <c r="N52" s="161">
        <f>+E51-I52</f>
        <v>20000</v>
      </c>
      <c r="O52" s="195" t="s">
        <v>439</v>
      </c>
    </row>
    <row r="53" spans="1:15" ht="12.75" x14ac:dyDescent="0.2">
      <c r="A53" s="70" t="s">
        <v>276</v>
      </c>
      <c r="B53" s="63" t="s">
        <v>28</v>
      </c>
      <c r="C53" s="64"/>
      <c r="D53" s="64">
        <v>160000000</v>
      </c>
      <c r="E53" s="64">
        <v>165023509.11000001</v>
      </c>
      <c r="F53" s="201" t="s">
        <v>450</v>
      </c>
      <c r="G53" s="142" t="s">
        <v>399</v>
      </c>
      <c r="H53" s="68" t="s">
        <v>154</v>
      </c>
      <c r="I53" s="66">
        <f>139728756.54-5023509.11-11898673.77</f>
        <v>122806573.65999998</v>
      </c>
      <c r="J53" s="66">
        <f>+I53</f>
        <v>122806573.65999998</v>
      </c>
      <c r="K53" s="66"/>
      <c r="L53" s="66"/>
      <c r="M53" s="66"/>
      <c r="N53" s="200"/>
      <c r="O53" s="165"/>
    </row>
    <row r="54" spans="1:15" s="144" customFormat="1" ht="12.75" customHeight="1" x14ac:dyDescent="0.2">
      <c r="A54" s="70"/>
      <c r="B54" s="63"/>
      <c r="C54" s="64"/>
      <c r="D54" s="64"/>
      <c r="E54" s="64"/>
      <c r="F54" s="201" t="s">
        <v>450</v>
      </c>
      <c r="G54" s="142" t="s">
        <v>399</v>
      </c>
      <c r="H54" s="68" t="s">
        <v>155</v>
      </c>
      <c r="I54" s="155">
        <f>11898637.77-189246.04</f>
        <v>11709391.73</v>
      </c>
      <c r="J54" s="66">
        <f t="shared" ref="J54:J57" si="9">+I54</f>
        <v>11709391.73</v>
      </c>
      <c r="K54" s="66"/>
      <c r="L54" s="66"/>
      <c r="M54" s="66"/>
      <c r="N54" s="200"/>
      <c r="O54" s="165"/>
    </row>
    <row r="55" spans="1:15" s="143" customFormat="1" ht="12.75" x14ac:dyDescent="0.2">
      <c r="A55" s="70"/>
      <c r="B55" s="63"/>
      <c r="C55" s="64"/>
      <c r="D55" s="64"/>
      <c r="E55" s="64"/>
      <c r="F55" s="201" t="s">
        <v>449</v>
      </c>
      <c r="G55" s="142" t="s">
        <v>415</v>
      </c>
      <c r="H55" s="68" t="s">
        <v>154</v>
      </c>
      <c r="I55" s="66">
        <v>22396096.489999998</v>
      </c>
      <c r="J55" s="66">
        <f t="shared" si="9"/>
        <v>22396096.489999998</v>
      </c>
      <c r="K55" s="66"/>
      <c r="L55" s="66"/>
      <c r="M55" s="66"/>
      <c r="N55" s="200"/>
      <c r="O55" s="165"/>
    </row>
    <row r="56" spans="1:15" s="143" customFormat="1" ht="12.75" customHeight="1" x14ac:dyDescent="0.2">
      <c r="A56" s="70"/>
      <c r="B56" s="63"/>
      <c r="C56" s="64"/>
      <c r="D56" s="64"/>
      <c r="E56" s="64"/>
      <c r="F56" s="201" t="s">
        <v>449</v>
      </c>
      <c r="G56" s="142" t="s">
        <v>415</v>
      </c>
      <c r="H56" s="68" t="s">
        <v>155</v>
      </c>
      <c r="I56" s="66">
        <v>2157263.54</v>
      </c>
      <c r="J56" s="66">
        <f t="shared" si="9"/>
        <v>2157263.54</v>
      </c>
      <c r="K56" s="66"/>
      <c r="L56" s="66"/>
      <c r="M56" s="66"/>
      <c r="N56" s="200"/>
      <c r="O56" s="165"/>
    </row>
    <row r="57" spans="1:15" s="143" customFormat="1" ht="12.75" customHeight="1" x14ac:dyDescent="0.2">
      <c r="A57" s="70"/>
      <c r="B57" s="63"/>
      <c r="C57" s="64"/>
      <c r="D57" s="64"/>
      <c r="E57" s="64"/>
      <c r="F57" s="201" t="s">
        <v>449</v>
      </c>
      <c r="G57" s="142" t="s">
        <v>415</v>
      </c>
      <c r="H57" s="68" t="s">
        <v>156</v>
      </c>
      <c r="I57" s="66">
        <v>322055</v>
      </c>
      <c r="J57" s="66">
        <f t="shared" si="9"/>
        <v>322055</v>
      </c>
      <c r="K57" s="66"/>
      <c r="L57" s="66"/>
      <c r="M57" s="66"/>
      <c r="N57" s="200"/>
      <c r="O57" s="165"/>
    </row>
    <row r="58" spans="1:15" s="144" customFormat="1" ht="12.75" customHeight="1" x14ac:dyDescent="0.2">
      <c r="A58" s="70"/>
      <c r="B58" s="63"/>
      <c r="C58" s="64"/>
      <c r="D58" s="64"/>
      <c r="E58" s="64"/>
      <c r="F58" s="202"/>
      <c r="G58" s="156"/>
      <c r="H58" s="157"/>
      <c r="I58" s="161">
        <f>SUM(I53:I57)</f>
        <v>159391380.41999999</v>
      </c>
      <c r="J58" s="161">
        <f t="shared" ref="J58:L58" si="10">SUM(J53:J57)</f>
        <v>159391380.41999999</v>
      </c>
      <c r="K58" s="161">
        <f t="shared" si="10"/>
        <v>0</v>
      </c>
      <c r="L58" s="161">
        <f t="shared" si="10"/>
        <v>0</v>
      </c>
      <c r="M58" s="158"/>
      <c r="N58" s="161">
        <f>+E53-I58</f>
        <v>5632128.6900000274</v>
      </c>
      <c r="O58" s="195" t="s">
        <v>439</v>
      </c>
    </row>
    <row r="59" spans="1:15" ht="12.75" x14ac:dyDescent="0.2">
      <c r="A59" s="70" t="s">
        <v>277</v>
      </c>
      <c r="B59" s="63" t="s">
        <v>278</v>
      </c>
      <c r="C59" s="64"/>
      <c r="D59" s="64">
        <v>33000000</v>
      </c>
      <c r="E59" s="64">
        <v>37647639.540000007</v>
      </c>
      <c r="F59" s="201" t="s">
        <v>450</v>
      </c>
      <c r="G59" s="142" t="s">
        <v>399</v>
      </c>
      <c r="H59" s="68" t="s">
        <v>154</v>
      </c>
      <c r="I59" s="66">
        <v>31046450.77</v>
      </c>
      <c r="J59" s="66">
        <f>+I59</f>
        <v>31046450.77</v>
      </c>
      <c r="K59" s="66"/>
      <c r="L59" s="66"/>
      <c r="M59" s="66"/>
      <c r="N59" s="200"/>
      <c r="O59" s="165"/>
    </row>
    <row r="60" spans="1:15" s="143" customFormat="1" ht="12.75" customHeight="1" x14ac:dyDescent="0.2">
      <c r="A60" s="70"/>
      <c r="B60" s="63"/>
      <c r="C60" s="64"/>
      <c r="D60" s="64"/>
      <c r="E60" s="64"/>
      <c r="F60" s="201" t="s">
        <v>451</v>
      </c>
      <c r="G60" s="142" t="s">
        <v>419</v>
      </c>
      <c r="H60" s="68" t="s">
        <v>155</v>
      </c>
      <c r="I60" s="66">
        <v>1301611</v>
      </c>
      <c r="J60" s="66">
        <f t="shared" ref="J60:J61" si="11">+I60</f>
        <v>1301611</v>
      </c>
      <c r="K60" s="66"/>
      <c r="L60" s="66"/>
      <c r="M60" s="66"/>
      <c r="N60" s="200"/>
      <c r="O60" s="165"/>
    </row>
    <row r="61" spans="1:15" s="143" customFormat="1" ht="12.75" customHeight="1" x14ac:dyDescent="0.2">
      <c r="A61" s="70"/>
      <c r="B61" s="63"/>
      <c r="C61" s="64"/>
      <c r="D61" s="64"/>
      <c r="E61" s="64"/>
      <c r="F61" s="201" t="s">
        <v>451</v>
      </c>
      <c r="G61" s="142" t="s">
        <v>419</v>
      </c>
      <c r="H61" s="68" t="s">
        <v>156</v>
      </c>
      <c r="I61" s="66">
        <v>17170</v>
      </c>
      <c r="J61" s="66">
        <f t="shared" si="11"/>
        <v>17170</v>
      </c>
      <c r="K61" s="66"/>
      <c r="L61" s="66"/>
      <c r="M61" s="66"/>
      <c r="N61" s="200"/>
      <c r="O61" s="165"/>
    </row>
    <row r="62" spans="1:15" s="144" customFormat="1" ht="12.75" customHeight="1" x14ac:dyDescent="0.2">
      <c r="A62" s="70"/>
      <c r="B62" s="63"/>
      <c r="C62" s="64"/>
      <c r="D62" s="64"/>
      <c r="E62" s="64"/>
      <c r="F62" s="202"/>
      <c r="G62" s="156"/>
      <c r="H62" s="157"/>
      <c r="I62" s="161">
        <f>SUM(I59:I61)</f>
        <v>32365231.77</v>
      </c>
      <c r="J62" s="161">
        <f t="shared" ref="J62:L62" si="12">SUM(J59:J61)</f>
        <v>32365231.77</v>
      </c>
      <c r="K62" s="161">
        <f t="shared" si="12"/>
        <v>0</v>
      </c>
      <c r="L62" s="161">
        <f t="shared" si="12"/>
        <v>0</v>
      </c>
      <c r="M62" s="158"/>
      <c r="N62" s="161">
        <f>+E59-I62</f>
        <v>5282407.770000007</v>
      </c>
      <c r="O62" s="195" t="s">
        <v>439</v>
      </c>
    </row>
    <row r="63" spans="1:15" ht="12.75" x14ac:dyDescent="0.2">
      <c r="A63" s="70" t="s">
        <v>279</v>
      </c>
      <c r="B63" s="63" t="s">
        <v>280</v>
      </c>
      <c r="C63" s="64"/>
      <c r="D63" s="64">
        <v>32000000</v>
      </c>
      <c r="E63" s="164">
        <v>23138623.809999999</v>
      </c>
      <c r="F63" s="201" t="s">
        <v>450</v>
      </c>
      <c r="G63" s="142" t="s">
        <v>399</v>
      </c>
      <c r="H63" s="68" t="s">
        <v>154</v>
      </c>
      <c r="I63" s="66">
        <v>19000000</v>
      </c>
      <c r="J63" s="66">
        <f>+I63</f>
        <v>19000000</v>
      </c>
      <c r="K63" s="66"/>
      <c r="L63" s="66"/>
      <c r="M63" s="66"/>
      <c r="N63" s="200"/>
      <c r="O63" s="165"/>
    </row>
    <row r="64" spans="1:15" s="143" customFormat="1" ht="12.75" customHeight="1" x14ac:dyDescent="0.2">
      <c r="A64" s="70"/>
      <c r="B64" s="63"/>
      <c r="C64" s="64"/>
      <c r="D64" s="64"/>
      <c r="E64" s="164"/>
      <c r="F64" s="201" t="s">
        <v>450</v>
      </c>
      <c r="G64" s="142" t="s">
        <v>397</v>
      </c>
      <c r="H64" s="68" t="s">
        <v>160</v>
      </c>
      <c r="I64" s="66">
        <v>34845.49</v>
      </c>
      <c r="J64" s="154">
        <f>+I64</f>
        <v>34845.49</v>
      </c>
      <c r="K64" s="66"/>
      <c r="L64" s="66"/>
      <c r="M64" s="66"/>
      <c r="N64" s="200"/>
      <c r="O64" s="165"/>
    </row>
    <row r="65" spans="1:15" s="143" customFormat="1" ht="12.75" x14ac:dyDescent="0.2">
      <c r="A65" s="70"/>
      <c r="B65" s="63"/>
      <c r="C65" s="64"/>
      <c r="D65" s="64"/>
      <c r="E65" s="164"/>
      <c r="F65" s="201" t="s">
        <v>449</v>
      </c>
      <c r="G65" s="142" t="s">
        <v>420</v>
      </c>
      <c r="H65" s="68" t="s">
        <v>154</v>
      </c>
      <c r="I65" s="66">
        <v>3808035.54</v>
      </c>
      <c r="J65" s="66">
        <f>+I65</f>
        <v>3808035.54</v>
      </c>
      <c r="K65" s="66"/>
      <c r="L65" s="66"/>
      <c r="M65" s="66"/>
      <c r="N65" s="200"/>
      <c r="O65" s="165"/>
    </row>
    <row r="66" spans="1:15" s="144" customFormat="1" ht="12.75" x14ac:dyDescent="0.2">
      <c r="A66" s="70"/>
      <c r="B66" s="63"/>
      <c r="C66" s="64"/>
      <c r="D66" s="64"/>
      <c r="E66" s="164"/>
      <c r="F66" s="202"/>
      <c r="G66" s="156"/>
      <c r="H66" s="157"/>
      <c r="I66" s="161">
        <f>SUM(I63:I65)</f>
        <v>22842881.029999997</v>
      </c>
      <c r="J66" s="161">
        <f t="shared" ref="J66:L66" si="13">SUM(J63:J65)</f>
        <v>22842881.029999997</v>
      </c>
      <c r="K66" s="161">
        <f t="shared" si="13"/>
        <v>0</v>
      </c>
      <c r="L66" s="161">
        <f t="shared" si="13"/>
        <v>0</v>
      </c>
      <c r="M66" s="158"/>
      <c r="N66" s="161">
        <f>+E63-I66</f>
        <v>295742.78000000119</v>
      </c>
      <c r="O66" s="195" t="s">
        <v>439</v>
      </c>
    </row>
    <row r="67" spans="1:15" ht="12.75" customHeight="1" x14ac:dyDescent="0.2">
      <c r="A67" s="70" t="s">
        <v>281</v>
      </c>
      <c r="B67" s="63" t="s">
        <v>282</v>
      </c>
      <c r="C67" s="64"/>
      <c r="D67" s="64">
        <v>2028000</v>
      </c>
      <c r="E67" s="164">
        <v>3653857.4699999997</v>
      </c>
      <c r="F67" s="201" t="s">
        <v>450</v>
      </c>
      <c r="G67" s="142" t="s">
        <v>397</v>
      </c>
      <c r="H67" s="68" t="s">
        <v>160</v>
      </c>
      <c r="I67" s="66">
        <v>250713.76</v>
      </c>
      <c r="J67" s="154">
        <f t="shared" ref="J67:J68" si="14">+I67</f>
        <v>250713.76</v>
      </c>
      <c r="K67" s="66"/>
      <c r="L67" s="64"/>
      <c r="M67" s="64"/>
      <c r="N67" s="200"/>
      <c r="O67" s="165"/>
    </row>
    <row r="68" spans="1:15" s="143" customFormat="1" ht="12.75" customHeight="1" x14ac:dyDescent="0.2">
      <c r="A68" s="70"/>
      <c r="B68" s="63"/>
      <c r="C68" s="64"/>
      <c r="D68" s="64"/>
      <c r="E68" s="164"/>
      <c r="F68" s="201" t="s">
        <v>450</v>
      </c>
      <c r="G68" s="142" t="s">
        <v>397</v>
      </c>
      <c r="H68" s="68" t="s">
        <v>160</v>
      </c>
      <c r="I68" s="66">
        <v>1579496.69</v>
      </c>
      <c r="J68" s="154">
        <f t="shared" si="14"/>
        <v>1579496.69</v>
      </c>
      <c r="K68" s="66"/>
      <c r="L68" s="64"/>
      <c r="M68" s="64"/>
      <c r="N68" s="200"/>
      <c r="O68" s="165"/>
    </row>
    <row r="69" spans="1:15" s="144" customFormat="1" ht="12.75" customHeight="1" x14ac:dyDescent="0.2">
      <c r="A69" s="70"/>
      <c r="B69" s="63"/>
      <c r="C69" s="64"/>
      <c r="D69" s="64"/>
      <c r="E69" s="164"/>
      <c r="F69" s="202"/>
      <c r="G69" s="156"/>
      <c r="H69" s="157"/>
      <c r="I69" s="161">
        <f>SUM(I67:I68)</f>
        <v>1830210.45</v>
      </c>
      <c r="J69" s="161">
        <f t="shared" ref="J69:L69" si="15">SUM(J67:J68)</f>
        <v>1830210.45</v>
      </c>
      <c r="K69" s="161">
        <f t="shared" si="15"/>
        <v>0</v>
      </c>
      <c r="L69" s="161">
        <f t="shared" si="15"/>
        <v>0</v>
      </c>
      <c r="M69" s="159"/>
      <c r="N69" s="161">
        <f>+E67-I69</f>
        <v>1823647.0199999998</v>
      </c>
      <c r="O69" s="195" t="s">
        <v>437</v>
      </c>
    </row>
    <row r="70" spans="1:15" s="166" customFormat="1" ht="12.75" customHeight="1" x14ac:dyDescent="0.2">
      <c r="A70" s="162" t="s">
        <v>283</v>
      </c>
      <c r="B70" s="163" t="s">
        <v>284</v>
      </c>
      <c r="C70" s="164"/>
      <c r="D70" s="164">
        <v>2843946.9</v>
      </c>
      <c r="E70" s="164">
        <v>920000</v>
      </c>
      <c r="F70" s="201" t="s">
        <v>449</v>
      </c>
      <c r="G70" s="150" t="s">
        <v>408</v>
      </c>
      <c r="H70" s="151" t="s">
        <v>155</v>
      </c>
      <c r="I70" s="155">
        <v>190640</v>
      </c>
      <c r="J70" s="155">
        <f>+I70</f>
        <v>190640</v>
      </c>
      <c r="K70" s="155"/>
      <c r="L70" s="155"/>
      <c r="M70" s="155"/>
      <c r="N70" s="200"/>
      <c r="O70" s="165"/>
    </row>
    <row r="71" spans="1:15" s="166" customFormat="1" ht="12.75" x14ac:dyDescent="0.2">
      <c r="A71" s="162"/>
      <c r="B71" s="163"/>
      <c r="C71" s="164"/>
      <c r="D71" s="164"/>
      <c r="E71" s="164"/>
      <c r="F71" s="201" t="s">
        <v>449</v>
      </c>
      <c r="G71" s="150" t="s">
        <v>420</v>
      </c>
      <c r="H71" s="151" t="s">
        <v>154</v>
      </c>
      <c r="I71" s="155">
        <v>30125.17</v>
      </c>
      <c r="J71" s="155">
        <f t="shared" ref="J71:J72" si="16">+I71</f>
        <v>30125.17</v>
      </c>
      <c r="K71" s="155"/>
      <c r="L71" s="155"/>
      <c r="M71" s="155"/>
      <c r="N71" s="200"/>
      <c r="O71" s="165"/>
    </row>
    <row r="72" spans="1:15" s="166" customFormat="1" ht="12.75" x14ac:dyDescent="0.2">
      <c r="A72" s="162"/>
      <c r="B72" s="163"/>
      <c r="C72" s="164"/>
      <c r="D72" s="164"/>
      <c r="E72" s="164"/>
      <c r="F72" s="201" t="s">
        <v>450</v>
      </c>
      <c r="G72" s="150" t="s">
        <v>399</v>
      </c>
      <c r="H72" s="151" t="s">
        <v>154</v>
      </c>
      <c r="I72" s="155">
        <v>92000</v>
      </c>
      <c r="J72" s="155">
        <f t="shared" si="16"/>
        <v>92000</v>
      </c>
      <c r="K72" s="155"/>
      <c r="L72" s="155"/>
      <c r="M72" s="155"/>
      <c r="N72" s="200"/>
      <c r="O72" s="165"/>
    </row>
    <row r="73" spans="1:15" s="166" customFormat="1" ht="12.75" x14ac:dyDescent="0.2">
      <c r="A73" s="162"/>
      <c r="B73" s="163"/>
      <c r="C73" s="164"/>
      <c r="D73" s="164"/>
      <c r="E73" s="164"/>
      <c r="F73" s="202"/>
      <c r="G73" s="156"/>
      <c r="H73" s="157"/>
      <c r="I73" s="161">
        <f>SUM(I70:I72)</f>
        <v>312765.17</v>
      </c>
      <c r="J73" s="161">
        <f t="shared" ref="J73:L73" si="17">SUM(J70:J72)</f>
        <v>312765.17</v>
      </c>
      <c r="K73" s="161">
        <f t="shared" si="17"/>
        <v>0</v>
      </c>
      <c r="L73" s="161">
        <f t="shared" si="17"/>
        <v>0</v>
      </c>
      <c r="M73" s="158"/>
      <c r="N73" s="161">
        <f>+E70-I73</f>
        <v>607234.83000000007</v>
      </c>
      <c r="O73" s="195" t="s">
        <v>429</v>
      </c>
    </row>
    <row r="74" spans="1:15" s="166" customFormat="1" ht="12.75" x14ac:dyDescent="0.2">
      <c r="A74" s="162" t="s">
        <v>285</v>
      </c>
      <c r="B74" s="163" t="s">
        <v>286</v>
      </c>
      <c r="C74" s="164"/>
      <c r="D74" s="164">
        <v>9560177.5999999996</v>
      </c>
      <c r="E74" s="164">
        <v>11348956.260000002</v>
      </c>
      <c r="F74" s="201" t="s">
        <v>449</v>
      </c>
      <c r="G74" s="150" t="s">
        <v>400</v>
      </c>
      <c r="H74" s="151" t="s">
        <v>154</v>
      </c>
      <c r="I74" s="155">
        <v>7101044.4699999997</v>
      </c>
      <c r="J74" s="155">
        <f>+I74</f>
        <v>7101044.4699999997</v>
      </c>
      <c r="K74" s="155"/>
      <c r="L74" s="155"/>
      <c r="M74" s="155"/>
      <c r="N74" s="200"/>
      <c r="O74" s="165"/>
    </row>
    <row r="75" spans="1:15" s="166" customFormat="1" ht="12.75" customHeight="1" x14ac:dyDescent="0.2">
      <c r="A75" s="162"/>
      <c r="B75" s="163"/>
      <c r="C75" s="164"/>
      <c r="D75" s="164"/>
      <c r="E75" s="164"/>
      <c r="F75" s="201" t="s">
        <v>449</v>
      </c>
      <c r="G75" s="150" t="s">
        <v>400</v>
      </c>
      <c r="H75" s="151" t="s">
        <v>155</v>
      </c>
      <c r="I75" s="155">
        <v>213734.55</v>
      </c>
      <c r="J75" s="155">
        <f t="shared" ref="J75:J77" si="18">+I75</f>
        <v>213734.55</v>
      </c>
      <c r="K75" s="155"/>
      <c r="L75" s="155"/>
      <c r="M75" s="155"/>
      <c r="N75" s="200"/>
      <c r="O75" s="165"/>
    </row>
    <row r="76" spans="1:15" s="166" customFormat="1" ht="12.75" customHeight="1" x14ac:dyDescent="0.2">
      <c r="A76" s="162"/>
      <c r="B76" s="163"/>
      <c r="C76" s="164"/>
      <c r="D76" s="164"/>
      <c r="E76" s="164"/>
      <c r="F76" s="201" t="s">
        <v>449</v>
      </c>
      <c r="G76" s="150" t="s">
        <v>400</v>
      </c>
      <c r="H76" s="151" t="s">
        <v>156</v>
      </c>
      <c r="I76" s="155">
        <v>468912.84</v>
      </c>
      <c r="J76" s="155">
        <f t="shared" si="18"/>
        <v>468912.84</v>
      </c>
      <c r="K76" s="155"/>
      <c r="L76" s="155"/>
      <c r="M76" s="155"/>
      <c r="N76" s="200"/>
      <c r="O76" s="165"/>
    </row>
    <row r="77" spans="1:15" s="166" customFormat="1" ht="12.75" x14ac:dyDescent="0.2">
      <c r="A77" s="162"/>
      <c r="B77" s="163"/>
      <c r="C77" s="164"/>
      <c r="D77" s="164"/>
      <c r="E77" s="164"/>
      <c r="F77" s="201" t="s">
        <v>450</v>
      </c>
      <c r="G77" s="150" t="s">
        <v>399</v>
      </c>
      <c r="H77" s="151" t="s">
        <v>154</v>
      </c>
      <c r="I77" s="155">
        <v>956017.76</v>
      </c>
      <c r="J77" s="155">
        <f t="shared" si="18"/>
        <v>956017.76</v>
      </c>
      <c r="K77" s="155"/>
      <c r="L77" s="155"/>
      <c r="M77" s="155"/>
      <c r="N77" s="200"/>
      <c r="O77" s="165"/>
    </row>
    <row r="78" spans="1:15" s="166" customFormat="1" ht="12.75" x14ac:dyDescent="0.2">
      <c r="A78" s="162"/>
      <c r="B78" s="163"/>
      <c r="C78" s="164"/>
      <c r="D78" s="164"/>
      <c r="E78" s="164"/>
      <c r="F78" s="202"/>
      <c r="G78" s="156"/>
      <c r="H78" s="157"/>
      <c r="I78" s="161">
        <f>SUM(I74:I77)</f>
        <v>8739709.6199999992</v>
      </c>
      <c r="J78" s="161">
        <f t="shared" ref="J78:L78" si="19">SUM(J74:J77)</f>
        <v>8739709.6199999992</v>
      </c>
      <c r="K78" s="161">
        <f t="shared" si="19"/>
        <v>0</v>
      </c>
      <c r="L78" s="161">
        <f t="shared" si="19"/>
        <v>0</v>
      </c>
      <c r="M78" s="158"/>
      <c r="N78" s="161">
        <f>+E74-I78</f>
        <v>2609246.6400000025</v>
      </c>
      <c r="O78" s="195" t="s">
        <v>427</v>
      </c>
    </row>
    <row r="79" spans="1:15" s="166" customFormat="1" ht="12.75" x14ac:dyDescent="0.2">
      <c r="A79" s="162" t="s">
        <v>287</v>
      </c>
      <c r="B79" s="163" t="s">
        <v>288</v>
      </c>
      <c r="C79" s="164"/>
      <c r="D79" s="164">
        <v>11326178.279999999</v>
      </c>
      <c r="E79" s="164">
        <v>11444758.609999999</v>
      </c>
      <c r="F79" s="201" t="s">
        <v>451</v>
      </c>
      <c r="G79" s="150" t="s">
        <v>401</v>
      </c>
      <c r="H79" s="151" t="s">
        <v>154</v>
      </c>
      <c r="I79" s="155">
        <v>3907839.46</v>
      </c>
      <c r="J79" s="155">
        <f>+I79</f>
        <v>3907839.46</v>
      </c>
      <c r="K79" s="164"/>
      <c r="L79" s="164"/>
      <c r="M79" s="164"/>
      <c r="N79" s="200"/>
      <c r="O79" s="165"/>
    </row>
    <row r="80" spans="1:15" s="166" customFormat="1" ht="12.75" customHeight="1" x14ac:dyDescent="0.2">
      <c r="A80" s="162"/>
      <c r="B80" s="163"/>
      <c r="C80" s="164"/>
      <c r="D80" s="164"/>
      <c r="E80" s="164"/>
      <c r="F80" s="201" t="s">
        <v>451</v>
      </c>
      <c r="G80" s="150" t="s">
        <v>401</v>
      </c>
      <c r="H80" s="151" t="s">
        <v>155</v>
      </c>
      <c r="I80" s="155">
        <v>241200.01</v>
      </c>
      <c r="J80" s="155">
        <f t="shared" ref="J80:J82" si="20">+I80</f>
        <v>241200.01</v>
      </c>
      <c r="K80" s="164"/>
      <c r="L80" s="164"/>
      <c r="M80" s="164"/>
      <c r="N80" s="200"/>
      <c r="O80" s="165"/>
    </row>
    <row r="81" spans="1:15" s="166" customFormat="1" ht="12.75" customHeight="1" x14ac:dyDescent="0.2">
      <c r="A81" s="162"/>
      <c r="B81" s="163"/>
      <c r="C81" s="164"/>
      <c r="D81" s="164"/>
      <c r="E81" s="164"/>
      <c r="F81" s="201" t="s">
        <v>451</v>
      </c>
      <c r="G81" s="150" t="s">
        <v>401</v>
      </c>
      <c r="H81" s="151" t="s">
        <v>156</v>
      </c>
      <c r="I81" s="155">
        <v>5253991.59</v>
      </c>
      <c r="J81" s="155">
        <f t="shared" si="20"/>
        <v>5253991.59</v>
      </c>
      <c r="K81" s="164"/>
      <c r="L81" s="164"/>
      <c r="M81" s="164"/>
      <c r="N81" s="200"/>
      <c r="O81" s="165"/>
    </row>
    <row r="82" spans="1:15" s="166" customFormat="1" ht="12.75" x14ac:dyDescent="0.2">
      <c r="A82" s="162"/>
      <c r="B82" s="163"/>
      <c r="C82" s="164"/>
      <c r="D82" s="164"/>
      <c r="E82" s="164"/>
      <c r="F82" s="201" t="s">
        <v>450</v>
      </c>
      <c r="G82" s="150" t="s">
        <v>399</v>
      </c>
      <c r="H82" s="151" t="s">
        <v>154</v>
      </c>
      <c r="I82" s="155">
        <v>1132617.81</v>
      </c>
      <c r="J82" s="155">
        <f t="shared" si="20"/>
        <v>1132617.81</v>
      </c>
      <c r="K82" s="164"/>
      <c r="L82" s="164"/>
      <c r="M82" s="164"/>
      <c r="N82" s="200"/>
      <c r="O82" s="165"/>
    </row>
    <row r="83" spans="1:15" s="166" customFormat="1" ht="12.75" x14ac:dyDescent="0.2">
      <c r="A83" s="162"/>
      <c r="B83" s="163"/>
      <c r="C83" s="164"/>
      <c r="D83" s="164"/>
      <c r="E83" s="164"/>
      <c r="F83" s="202"/>
      <c r="G83" s="156"/>
      <c r="H83" s="157"/>
      <c r="I83" s="161">
        <f>SUM(I79:I82)</f>
        <v>10535648.869999999</v>
      </c>
      <c r="J83" s="161">
        <f t="shared" ref="J83:L83" si="21">SUM(J79:J82)</f>
        <v>10535648.869999999</v>
      </c>
      <c r="K83" s="161">
        <f t="shared" si="21"/>
        <v>0</v>
      </c>
      <c r="L83" s="161">
        <f t="shared" si="21"/>
        <v>0</v>
      </c>
      <c r="M83" s="159"/>
      <c r="N83" s="161">
        <f>+E79-I83</f>
        <v>909109.74000000022</v>
      </c>
      <c r="O83" s="195" t="s">
        <v>427</v>
      </c>
    </row>
    <row r="84" spans="1:15" s="166" customFormat="1" ht="12.75" x14ac:dyDescent="0.2">
      <c r="A84" s="162" t="s">
        <v>289</v>
      </c>
      <c r="B84" s="163" t="s">
        <v>290</v>
      </c>
      <c r="C84" s="164"/>
      <c r="D84" s="164">
        <v>214750000</v>
      </c>
      <c r="E84" s="164">
        <v>259711882</v>
      </c>
      <c r="F84" s="201" t="s">
        <v>449</v>
      </c>
      <c r="G84" s="150" t="s">
        <v>339</v>
      </c>
      <c r="H84" s="151" t="s">
        <v>154</v>
      </c>
      <c r="I84" s="155">
        <v>32343407.850000001</v>
      </c>
      <c r="J84" s="155">
        <f>+I84</f>
        <v>32343407.850000001</v>
      </c>
      <c r="K84" s="164"/>
      <c r="L84" s="164"/>
      <c r="M84" s="164"/>
      <c r="N84" s="200"/>
      <c r="O84" s="165"/>
    </row>
    <row r="85" spans="1:15" s="166" customFormat="1" ht="12.75" customHeight="1" x14ac:dyDescent="0.2">
      <c r="A85" s="162"/>
      <c r="B85" s="163"/>
      <c r="C85" s="164"/>
      <c r="D85" s="164"/>
      <c r="E85" s="164"/>
      <c r="F85" s="201" t="s">
        <v>449</v>
      </c>
      <c r="G85" s="150" t="s">
        <v>339</v>
      </c>
      <c r="H85" s="151" t="s">
        <v>155</v>
      </c>
      <c r="I85" s="155">
        <f>3188326.05-100000</f>
        <v>3088326.05</v>
      </c>
      <c r="J85" s="155">
        <f t="shared" ref="J85:J90" si="22">+I85</f>
        <v>3088326.05</v>
      </c>
      <c r="K85" s="164"/>
      <c r="L85" s="164"/>
      <c r="M85" s="164"/>
      <c r="N85" s="200"/>
      <c r="O85" s="165"/>
    </row>
    <row r="86" spans="1:15" s="166" customFormat="1" ht="12.75" customHeight="1" x14ac:dyDescent="0.2">
      <c r="A86" s="162"/>
      <c r="B86" s="163"/>
      <c r="C86" s="164"/>
      <c r="D86" s="164"/>
      <c r="E86" s="164"/>
      <c r="F86" s="201" t="s">
        <v>449</v>
      </c>
      <c r="G86" s="150" t="s">
        <v>339</v>
      </c>
      <c r="H86" s="151" t="s">
        <v>156</v>
      </c>
      <c r="I86" s="155">
        <f>2324031.19-9899</f>
        <v>2314132.19</v>
      </c>
      <c r="J86" s="155">
        <f t="shared" si="22"/>
        <v>2314132.19</v>
      </c>
      <c r="K86" s="164"/>
      <c r="L86" s="164"/>
      <c r="M86" s="164"/>
      <c r="N86" s="200"/>
      <c r="O86" s="165"/>
    </row>
    <row r="87" spans="1:15" s="166" customFormat="1" ht="12.75" customHeight="1" x14ac:dyDescent="0.2">
      <c r="A87" s="162"/>
      <c r="B87" s="163"/>
      <c r="C87" s="164"/>
      <c r="D87" s="164"/>
      <c r="E87" s="164"/>
      <c r="F87" s="201" t="s">
        <v>449</v>
      </c>
      <c r="G87" s="150" t="s">
        <v>340</v>
      </c>
      <c r="H87" s="151" t="s">
        <v>155</v>
      </c>
      <c r="I87" s="155">
        <f>122862845.48-141075</f>
        <v>122721770.48</v>
      </c>
      <c r="J87" s="155">
        <f t="shared" si="22"/>
        <v>122721770.48</v>
      </c>
      <c r="K87" s="164"/>
      <c r="L87" s="164"/>
      <c r="M87" s="164"/>
      <c r="N87" s="200"/>
      <c r="O87" s="165"/>
    </row>
    <row r="88" spans="1:15" s="166" customFormat="1" ht="12.75" customHeight="1" x14ac:dyDescent="0.2">
      <c r="A88" s="162"/>
      <c r="B88" s="163"/>
      <c r="C88" s="164"/>
      <c r="D88" s="164"/>
      <c r="E88" s="164"/>
      <c r="F88" s="201" t="s">
        <v>451</v>
      </c>
      <c r="G88" s="150" t="s">
        <v>341</v>
      </c>
      <c r="H88" s="151" t="s">
        <v>159</v>
      </c>
      <c r="I88" s="155">
        <v>6400000</v>
      </c>
      <c r="J88" s="155"/>
      <c r="K88" s="66">
        <f>+I88</f>
        <v>6400000</v>
      </c>
      <c r="L88" s="164"/>
      <c r="M88" s="164"/>
      <c r="N88" s="200"/>
      <c r="O88" s="165"/>
    </row>
    <row r="89" spans="1:15" s="166" customFormat="1" ht="12.75" x14ac:dyDescent="0.2">
      <c r="A89" s="162"/>
      <c r="B89" s="163"/>
      <c r="C89" s="164"/>
      <c r="D89" s="164"/>
      <c r="E89" s="164"/>
      <c r="F89" s="201" t="s">
        <v>450</v>
      </c>
      <c r="G89" s="150" t="s">
        <v>399</v>
      </c>
      <c r="H89" s="151" t="s">
        <v>154</v>
      </c>
      <c r="I89" s="155">
        <v>14681501.050000001</v>
      </c>
      <c r="J89" s="155">
        <f t="shared" si="22"/>
        <v>14681501.050000001</v>
      </c>
      <c r="K89" s="164"/>
      <c r="L89" s="164"/>
      <c r="M89" s="164"/>
      <c r="N89" s="200"/>
      <c r="O89" s="165"/>
    </row>
    <row r="90" spans="1:15" s="166" customFormat="1" ht="12.75" customHeight="1" x14ac:dyDescent="0.2">
      <c r="A90" s="162"/>
      <c r="B90" s="163"/>
      <c r="C90" s="164"/>
      <c r="D90" s="164"/>
      <c r="E90" s="164"/>
      <c r="F90" s="201" t="s">
        <v>450</v>
      </c>
      <c r="G90" s="150" t="s">
        <v>399</v>
      </c>
      <c r="H90" s="151" t="s">
        <v>155</v>
      </c>
      <c r="I90" s="155">
        <v>6793498.9500000002</v>
      </c>
      <c r="J90" s="155">
        <f t="shared" si="22"/>
        <v>6793498.9500000002</v>
      </c>
      <c r="K90" s="164"/>
      <c r="L90" s="164"/>
      <c r="M90" s="164"/>
      <c r="N90" s="200"/>
      <c r="O90" s="165"/>
    </row>
    <row r="91" spans="1:15" s="166" customFormat="1" ht="12.75" customHeight="1" x14ac:dyDescent="0.2">
      <c r="A91" s="162"/>
      <c r="B91" s="163"/>
      <c r="C91" s="164"/>
      <c r="D91" s="164"/>
      <c r="E91" s="164"/>
      <c r="F91" s="202"/>
      <c r="G91" s="156"/>
      <c r="H91" s="157"/>
      <c r="I91" s="161">
        <f>SUM(I84:I90)</f>
        <v>188342636.56999999</v>
      </c>
      <c r="J91" s="161">
        <f t="shared" ref="J91:L91" si="23">SUM(J84:J90)</f>
        <v>181942636.56999999</v>
      </c>
      <c r="K91" s="161">
        <f t="shared" si="23"/>
        <v>6400000</v>
      </c>
      <c r="L91" s="161">
        <f t="shared" si="23"/>
        <v>0</v>
      </c>
      <c r="M91" s="159"/>
      <c r="N91" s="161">
        <f>+E84-I91</f>
        <v>71369245.430000007</v>
      </c>
      <c r="O91" s="210" t="s">
        <v>426</v>
      </c>
    </row>
    <row r="92" spans="1:15" s="166" customFormat="1" ht="12.75" x14ac:dyDescent="0.2">
      <c r="A92" s="162" t="s">
        <v>291</v>
      </c>
      <c r="B92" s="163" t="s">
        <v>292</v>
      </c>
      <c r="C92" s="167"/>
      <c r="D92" s="164">
        <v>65807015.840000004</v>
      </c>
      <c r="E92" s="164">
        <v>70139376.969999999</v>
      </c>
      <c r="F92" s="201" t="s">
        <v>449</v>
      </c>
      <c r="G92" s="150" t="s">
        <v>326</v>
      </c>
      <c r="H92" s="151" t="s">
        <v>154</v>
      </c>
      <c r="I92" s="155">
        <v>47871214.299999997</v>
      </c>
      <c r="J92" s="155">
        <f>+I92</f>
        <v>47871214.299999997</v>
      </c>
      <c r="K92" s="152"/>
      <c r="L92" s="152"/>
      <c r="M92" s="152"/>
      <c r="N92" s="200"/>
      <c r="O92" s="165"/>
    </row>
    <row r="93" spans="1:15" s="166" customFormat="1" ht="12.75" customHeight="1" x14ac:dyDescent="0.2">
      <c r="A93" s="162"/>
      <c r="B93" s="163"/>
      <c r="C93" s="167"/>
      <c r="D93" s="164"/>
      <c r="E93" s="164"/>
      <c r="F93" s="201" t="s">
        <v>449</v>
      </c>
      <c r="G93" s="150" t="s">
        <v>326</v>
      </c>
      <c r="H93" s="151" t="s">
        <v>155</v>
      </c>
      <c r="I93" s="155">
        <v>1561265.08</v>
      </c>
      <c r="J93" s="155">
        <f t="shared" ref="J93:J95" si="24">+I93</f>
        <v>1561265.08</v>
      </c>
      <c r="K93" s="152"/>
      <c r="L93" s="152"/>
      <c r="M93" s="152"/>
      <c r="N93" s="200"/>
      <c r="O93" s="165"/>
    </row>
    <row r="94" spans="1:15" s="166" customFormat="1" ht="12.75" customHeight="1" x14ac:dyDescent="0.2">
      <c r="A94" s="162"/>
      <c r="B94" s="163"/>
      <c r="C94" s="167"/>
      <c r="D94" s="164"/>
      <c r="E94" s="164"/>
      <c r="F94" s="201" t="s">
        <v>449</v>
      </c>
      <c r="G94" s="150" t="s">
        <v>326</v>
      </c>
      <c r="H94" s="151" t="s">
        <v>156</v>
      </c>
      <c r="I94" s="155">
        <f>1400000-24574</f>
        <v>1375426</v>
      </c>
      <c r="J94" s="155">
        <f t="shared" si="24"/>
        <v>1375426</v>
      </c>
      <c r="K94" s="152"/>
      <c r="L94" s="152"/>
      <c r="M94" s="152"/>
      <c r="N94" s="200"/>
      <c r="O94" s="165"/>
    </row>
    <row r="95" spans="1:15" s="166" customFormat="1" ht="12.75" customHeight="1" x14ac:dyDescent="0.2">
      <c r="A95" s="162"/>
      <c r="B95" s="163"/>
      <c r="C95" s="167"/>
      <c r="D95" s="164"/>
      <c r="E95" s="164"/>
      <c r="F95" s="201" t="s">
        <v>450</v>
      </c>
      <c r="G95" s="150" t="s">
        <v>399</v>
      </c>
      <c r="H95" s="151" t="s">
        <v>155</v>
      </c>
      <c r="I95" s="155">
        <v>6580701.5800000001</v>
      </c>
      <c r="J95" s="155">
        <f t="shared" si="24"/>
        <v>6580701.5800000001</v>
      </c>
      <c r="K95" s="152"/>
      <c r="L95" s="152"/>
      <c r="M95" s="152"/>
      <c r="N95" s="200"/>
      <c r="O95" s="165"/>
    </row>
    <row r="96" spans="1:15" s="166" customFormat="1" ht="12.75" customHeight="1" x14ac:dyDescent="0.2">
      <c r="A96" s="162"/>
      <c r="B96" s="163"/>
      <c r="C96" s="167"/>
      <c r="D96" s="164"/>
      <c r="E96" s="164"/>
      <c r="F96" s="202"/>
      <c r="G96" s="156"/>
      <c r="H96" s="157"/>
      <c r="I96" s="161">
        <f>SUM(I92:I95)</f>
        <v>57388606.959999993</v>
      </c>
      <c r="J96" s="161">
        <f t="shared" ref="J96:L96" si="25">SUM(J92:J95)</f>
        <v>57388606.959999993</v>
      </c>
      <c r="K96" s="161">
        <f t="shared" si="25"/>
        <v>0</v>
      </c>
      <c r="L96" s="161">
        <f t="shared" si="25"/>
        <v>0</v>
      </c>
      <c r="M96" s="187"/>
      <c r="N96" s="161">
        <f>+E92-I96</f>
        <v>12750770.010000005</v>
      </c>
      <c r="O96" s="195" t="s">
        <v>425</v>
      </c>
    </row>
    <row r="97" spans="1:15" s="166" customFormat="1" ht="12.75" x14ac:dyDescent="0.2">
      <c r="A97" s="162" t="s">
        <v>293</v>
      </c>
      <c r="B97" s="163" t="s">
        <v>294</v>
      </c>
      <c r="C97" s="165"/>
      <c r="D97" s="164">
        <v>27757889.66</v>
      </c>
      <c r="E97" s="164">
        <v>35269808.909999996</v>
      </c>
      <c r="F97" s="201" t="s">
        <v>449</v>
      </c>
      <c r="G97" s="150" t="s">
        <v>402</v>
      </c>
      <c r="H97" s="151" t="s">
        <v>154</v>
      </c>
      <c r="I97" s="155">
        <v>15323625.33</v>
      </c>
      <c r="J97" s="155">
        <f>+I97</f>
        <v>15323625.33</v>
      </c>
      <c r="K97" s="165"/>
      <c r="L97" s="165"/>
      <c r="M97" s="165"/>
      <c r="N97" s="200"/>
      <c r="O97" s="165"/>
    </row>
    <row r="98" spans="1:15" s="166" customFormat="1" ht="12.75" customHeight="1" x14ac:dyDescent="0.2">
      <c r="A98" s="162"/>
      <c r="B98" s="163"/>
      <c r="C98" s="165"/>
      <c r="D98" s="164"/>
      <c r="E98" s="164"/>
      <c r="F98" s="201" t="s">
        <v>449</v>
      </c>
      <c r="G98" s="150" t="s">
        <v>402</v>
      </c>
      <c r="H98" s="151" t="s">
        <v>155</v>
      </c>
      <c r="I98" s="155">
        <v>1345512.02</v>
      </c>
      <c r="J98" s="155">
        <f t="shared" ref="J98:J100" si="26">+I98</f>
        <v>1345512.02</v>
      </c>
      <c r="K98" s="165"/>
      <c r="L98" s="165"/>
      <c r="M98" s="165"/>
      <c r="N98" s="200"/>
      <c r="O98" s="165"/>
    </row>
    <row r="99" spans="1:15" s="166" customFormat="1" ht="12.75" customHeight="1" x14ac:dyDescent="0.2">
      <c r="A99" s="162"/>
      <c r="B99" s="163"/>
      <c r="C99" s="165"/>
      <c r="D99" s="164"/>
      <c r="E99" s="164"/>
      <c r="F99" s="201" t="s">
        <v>449</v>
      </c>
      <c r="G99" s="150" t="s">
        <v>402</v>
      </c>
      <c r="H99" s="151" t="s">
        <v>156</v>
      </c>
      <c r="I99" s="155">
        <v>1241331.52</v>
      </c>
      <c r="J99" s="155">
        <f t="shared" si="26"/>
        <v>1241331.52</v>
      </c>
      <c r="K99" s="165"/>
      <c r="L99" s="165"/>
      <c r="M99" s="165"/>
      <c r="N99" s="200"/>
      <c r="O99" s="165"/>
    </row>
    <row r="100" spans="1:15" s="166" customFormat="1" ht="12.75" customHeight="1" x14ac:dyDescent="0.2">
      <c r="A100" s="162"/>
      <c r="B100" s="163"/>
      <c r="C100" s="165"/>
      <c r="D100" s="164"/>
      <c r="E100" s="164"/>
      <c r="F100" s="201" t="s">
        <v>450</v>
      </c>
      <c r="G100" s="150" t="s">
        <v>399</v>
      </c>
      <c r="H100" s="151" t="s">
        <v>155</v>
      </c>
      <c r="I100" s="155">
        <v>2775788.97</v>
      </c>
      <c r="J100" s="155">
        <f t="shared" si="26"/>
        <v>2775788.97</v>
      </c>
      <c r="K100" s="165"/>
      <c r="L100" s="165"/>
      <c r="M100" s="165"/>
      <c r="N100" s="200"/>
      <c r="O100" s="165"/>
    </row>
    <row r="101" spans="1:15" s="166" customFormat="1" ht="12.75" customHeight="1" x14ac:dyDescent="0.2">
      <c r="A101" s="162"/>
      <c r="B101" s="163"/>
      <c r="C101" s="165"/>
      <c r="D101" s="164"/>
      <c r="E101" s="164"/>
      <c r="F101" s="202"/>
      <c r="G101" s="156"/>
      <c r="H101" s="157"/>
      <c r="I101" s="161">
        <f>SUM(I97:I100)</f>
        <v>20686257.84</v>
      </c>
      <c r="J101" s="161">
        <f t="shared" ref="J101:L101" si="27">SUM(J97:J100)</f>
        <v>20686257.84</v>
      </c>
      <c r="K101" s="161">
        <f t="shared" si="27"/>
        <v>0</v>
      </c>
      <c r="L101" s="161">
        <f t="shared" si="27"/>
        <v>0</v>
      </c>
      <c r="M101" s="160"/>
      <c r="N101" s="161">
        <f>+E97-I101</f>
        <v>14583551.069999997</v>
      </c>
      <c r="O101" s="195" t="s">
        <v>428</v>
      </c>
    </row>
    <row r="102" spans="1:15" s="166" customFormat="1" ht="12.75" x14ac:dyDescent="0.2">
      <c r="A102" s="162" t="s">
        <v>295</v>
      </c>
      <c r="B102" s="163" t="s">
        <v>219</v>
      </c>
      <c r="C102" s="165"/>
      <c r="D102" s="164">
        <v>131830155.55</v>
      </c>
      <c r="E102" s="164">
        <v>178393900.25</v>
      </c>
      <c r="F102" s="201" t="s">
        <v>449</v>
      </c>
      <c r="G102" s="150" t="s">
        <v>398</v>
      </c>
      <c r="H102" s="151" t="s">
        <v>154</v>
      </c>
      <c r="I102" s="155">
        <v>48909899.719999999</v>
      </c>
      <c r="J102" s="155">
        <f>+I102</f>
        <v>48909899.719999999</v>
      </c>
      <c r="K102" s="165"/>
      <c r="L102" s="165"/>
      <c r="M102" s="165"/>
      <c r="N102" s="200"/>
      <c r="O102" s="165"/>
    </row>
    <row r="103" spans="1:15" s="166" customFormat="1" ht="12.75" customHeight="1" x14ac:dyDescent="0.2">
      <c r="A103" s="162"/>
      <c r="B103" s="163"/>
      <c r="C103" s="165"/>
      <c r="D103" s="164"/>
      <c r="E103" s="164"/>
      <c r="F103" s="201" t="s">
        <v>449</v>
      </c>
      <c r="G103" s="150" t="s">
        <v>398</v>
      </c>
      <c r="H103" s="151" t="s">
        <v>155</v>
      </c>
      <c r="I103" s="155">
        <v>40037808.560000002</v>
      </c>
      <c r="J103" s="155">
        <f t="shared" ref="J103:J104" si="28">+I103</f>
        <v>40037808.560000002</v>
      </c>
      <c r="K103" s="165"/>
      <c r="L103" s="165"/>
      <c r="M103" s="165"/>
      <c r="N103" s="200"/>
      <c r="O103" s="165"/>
    </row>
    <row r="104" spans="1:15" s="166" customFormat="1" ht="12.75" customHeight="1" x14ac:dyDescent="0.2">
      <c r="A104" s="162"/>
      <c r="B104" s="163"/>
      <c r="C104" s="165"/>
      <c r="D104" s="164"/>
      <c r="E104" s="164"/>
      <c r="F104" s="201" t="s">
        <v>449</v>
      </c>
      <c r="G104" s="150" t="s">
        <v>398</v>
      </c>
      <c r="H104" s="151" t="s">
        <v>156</v>
      </c>
      <c r="I104" s="155">
        <f>4070077.17-11182-51681</f>
        <v>4007214.17</v>
      </c>
      <c r="J104" s="155">
        <f t="shared" si="28"/>
        <v>4007214.17</v>
      </c>
      <c r="K104" s="165"/>
      <c r="L104" s="165"/>
      <c r="M104" s="165"/>
      <c r="N104" s="200"/>
      <c r="O104" s="165"/>
    </row>
    <row r="105" spans="1:15" s="166" customFormat="1" ht="12.75" customHeight="1" x14ac:dyDescent="0.2">
      <c r="A105" s="162"/>
      <c r="B105" s="163"/>
      <c r="C105" s="165"/>
      <c r="D105" s="164"/>
      <c r="E105" s="164"/>
      <c r="F105" s="201" t="s">
        <v>449</v>
      </c>
      <c r="G105" s="150" t="s">
        <v>398</v>
      </c>
      <c r="H105" s="151" t="s">
        <v>159</v>
      </c>
      <c r="I105" s="155">
        <f>650883-64208</f>
        <v>586675</v>
      </c>
      <c r="J105" s="155"/>
      <c r="K105" s="66">
        <f>+I105</f>
        <v>586675</v>
      </c>
      <c r="L105" s="165"/>
      <c r="M105" s="165"/>
      <c r="N105" s="200"/>
      <c r="O105" s="165"/>
    </row>
    <row r="106" spans="1:15" s="166" customFormat="1" ht="12.75" customHeight="1" x14ac:dyDescent="0.2">
      <c r="A106" s="162"/>
      <c r="B106" s="163"/>
      <c r="C106" s="165"/>
      <c r="D106" s="164"/>
      <c r="E106" s="164"/>
      <c r="F106" s="201" t="s">
        <v>449</v>
      </c>
      <c r="G106" s="150" t="s">
        <v>398</v>
      </c>
      <c r="H106" s="151" t="s">
        <v>160</v>
      </c>
      <c r="I106" s="155">
        <v>2869833.46</v>
      </c>
      <c r="J106" s="155">
        <f>+I106</f>
        <v>2869833.46</v>
      </c>
      <c r="K106" s="165"/>
      <c r="L106" s="165"/>
      <c r="M106" s="165"/>
      <c r="N106" s="200"/>
      <c r="O106" s="165"/>
    </row>
    <row r="107" spans="1:15" s="166" customFormat="1" ht="12.75" customHeight="1" x14ac:dyDescent="0.2">
      <c r="A107" s="162"/>
      <c r="B107" s="163"/>
      <c r="C107" s="165"/>
      <c r="D107" s="164"/>
      <c r="E107" s="164"/>
      <c r="F107" s="201" t="s">
        <v>450</v>
      </c>
      <c r="G107" s="150" t="s">
        <v>399</v>
      </c>
      <c r="H107" s="151" t="s">
        <v>155</v>
      </c>
      <c r="I107" s="155">
        <v>13183015.550000001</v>
      </c>
      <c r="J107" s="155">
        <f t="shared" ref="J107" si="29">+I107</f>
        <v>13183015.550000001</v>
      </c>
      <c r="K107" s="165"/>
      <c r="L107" s="165"/>
      <c r="M107" s="165"/>
      <c r="N107" s="200"/>
      <c r="O107" s="165"/>
    </row>
    <row r="108" spans="1:15" s="166" customFormat="1" ht="12.75" customHeight="1" x14ac:dyDescent="0.2">
      <c r="A108" s="162"/>
      <c r="B108" s="163"/>
      <c r="C108" s="165"/>
      <c r="D108" s="164"/>
      <c r="E108" s="164"/>
      <c r="F108" s="202"/>
      <c r="G108" s="156"/>
      <c r="H108" s="157"/>
      <c r="I108" s="161">
        <f>SUM(I102:I107)</f>
        <v>109594446.45999999</v>
      </c>
      <c r="J108" s="161">
        <f t="shared" ref="J108:L108" si="30">SUM(J102:J107)</f>
        <v>109007771.45999999</v>
      </c>
      <c r="K108" s="161">
        <f t="shared" si="30"/>
        <v>586675</v>
      </c>
      <c r="L108" s="161">
        <f t="shared" si="30"/>
        <v>0</v>
      </c>
      <c r="M108" s="160"/>
      <c r="N108" s="161">
        <f>+E102-I108</f>
        <v>68799453.790000007</v>
      </c>
      <c r="O108" s="210" t="s">
        <v>436</v>
      </c>
    </row>
    <row r="109" spans="1:15" s="166" customFormat="1" ht="12.75" x14ac:dyDescent="0.2">
      <c r="A109" s="162" t="s">
        <v>296</v>
      </c>
      <c r="B109" s="163" t="s">
        <v>297</v>
      </c>
      <c r="C109" s="165"/>
      <c r="D109" s="164">
        <v>6833194.2000000002</v>
      </c>
      <c r="E109" s="164">
        <v>5365500</v>
      </c>
      <c r="F109" s="201" t="s">
        <v>449</v>
      </c>
      <c r="G109" s="150" t="s">
        <v>420</v>
      </c>
      <c r="H109" s="151" t="s">
        <v>154</v>
      </c>
      <c r="I109" s="155">
        <v>3618501.6</v>
      </c>
      <c r="J109" s="155">
        <f>+I109</f>
        <v>3618501.6</v>
      </c>
      <c r="K109" s="165"/>
      <c r="L109" s="165"/>
      <c r="M109" s="165"/>
      <c r="N109" s="200"/>
      <c r="O109" s="165"/>
    </row>
    <row r="110" spans="1:15" s="166" customFormat="1" ht="12.75" customHeight="1" x14ac:dyDescent="0.2">
      <c r="A110" s="162"/>
      <c r="B110" s="163"/>
      <c r="C110" s="165"/>
      <c r="D110" s="164"/>
      <c r="E110" s="164"/>
      <c r="F110" s="201" t="s">
        <v>449</v>
      </c>
      <c r="G110" s="150" t="s">
        <v>420</v>
      </c>
      <c r="H110" s="151" t="s">
        <v>155</v>
      </c>
      <c r="I110" s="155">
        <v>862990.8</v>
      </c>
      <c r="J110" s="155">
        <f t="shared" ref="J110:J111" si="31">+I110</f>
        <v>862990.8</v>
      </c>
      <c r="K110" s="165"/>
      <c r="L110" s="165"/>
      <c r="M110" s="165"/>
      <c r="N110" s="200"/>
      <c r="O110" s="165"/>
    </row>
    <row r="111" spans="1:15" s="166" customFormat="1" ht="12.75" customHeight="1" x14ac:dyDescent="0.2">
      <c r="A111" s="162"/>
      <c r="B111" s="163"/>
      <c r="C111" s="165"/>
      <c r="D111" s="164"/>
      <c r="E111" s="164"/>
      <c r="F111" s="201" t="s">
        <v>449</v>
      </c>
      <c r="G111" s="150" t="s">
        <v>420</v>
      </c>
      <c r="H111" s="151" t="s">
        <v>156</v>
      </c>
      <c r="I111" s="155">
        <v>884007.6</v>
      </c>
      <c r="J111" s="155">
        <f t="shared" si="31"/>
        <v>884007.6</v>
      </c>
      <c r="K111" s="165"/>
      <c r="L111" s="165"/>
      <c r="M111" s="165"/>
      <c r="N111" s="200"/>
      <c r="O111" s="165"/>
    </row>
    <row r="112" spans="1:15" s="166" customFormat="1" ht="12.75" customHeight="1" x14ac:dyDescent="0.2">
      <c r="A112" s="162"/>
      <c r="B112" s="163"/>
      <c r="C112" s="165"/>
      <c r="D112" s="164"/>
      <c r="E112" s="164"/>
      <c r="F112" s="202"/>
      <c r="G112" s="156"/>
      <c r="H112" s="157"/>
      <c r="I112" s="161">
        <f>SUM(I109:I111)</f>
        <v>5365500</v>
      </c>
      <c r="J112" s="161">
        <f t="shared" ref="J112:L112" si="32">SUM(J109:J111)</f>
        <v>5365500</v>
      </c>
      <c r="K112" s="161">
        <f t="shared" si="32"/>
        <v>0</v>
      </c>
      <c r="L112" s="161">
        <f t="shared" si="32"/>
        <v>0</v>
      </c>
      <c r="M112" s="160"/>
      <c r="N112" s="161">
        <f>+E109-I112</f>
        <v>0</v>
      </c>
      <c r="O112" s="165"/>
    </row>
    <row r="113" spans="1:15" s="166" customFormat="1" ht="12.75" customHeight="1" x14ac:dyDescent="0.2">
      <c r="A113" s="162" t="s">
        <v>298</v>
      </c>
      <c r="B113" s="163" t="s">
        <v>299</v>
      </c>
      <c r="C113" s="165"/>
      <c r="D113" s="164">
        <v>2000000</v>
      </c>
      <c r="E113" s="164">
        <v>4925000</v>
      </c>
      <c r="F113" s="203"/>
      <c r="G113" s="150"/>
      <c r="H113" s="151"/>
      <c r="I113" s="155">
        <v>0</v>
      </c>
      <c r="J113" s="165"/>
      <c r="K113" s="165"/>
      <c r="L113" s="165"/>
      <c r="M113" s="165"/>
      <c r="N113" s="200"/>
      <c r="O113" s="165"/>
    </row>
    <row r="114" spans="1:15" s="166" customFormat="1" ht="12.75" customHeight="1" x14ac:dyDescent="0.2">
      <c r="A114" s="162"/>
      <c r="B114" s="163"/>
      <c r="C114" s="165"/>
      <c r="D114" s="164"/>
      <c r="E114" s="164"/>
      <c r="F114" s="202"/>
      <c r="G114" s="156"/>
      <c r="H114" s="157"/>
      <c r="I114" s="187">
        <f>SUM(I113)</f>
        <v>0</v>
      </c>
      <c r="J114" s="187">
        <f t="shared" ref="J114:L114" si="33">SUM(J113)</f>
        <v>0</v>
      </c>
      <c r="K114" s="187">
        <f t="shared" si="33"/>
        <v>0</v>
      </c>
      <c r="L114" s="187">
        <f t="shared" si="33"/>
        <v>0</v>
      </c>
      <c r="M114" s="160"/>
      <c r="N114" s="161">
        <f>+E113-I114</f>
        <v>4925000</v>
      </c>
      <c r="O114" s="195" t="s">
        <v>427</v>
      </c>
    </row>
    <row r="115" spans="1:15" s="166" customFormat="1" ht="12.75" customHeight="1" x14ac:dyDescent="0.2">
      <c r="A115" s="162" t="s">
        <v>300</v>
      </c>
      <c r="B115" s="163" t="s">
        <v>301</v>
      </c>
      <c r="C115" s="165"/>
      <c r="D115" s="164">
        <v>5000000</v>
      </c>
      <c r="E115" s="164">
        <v>4206375.5199999996</v>
      </c>
      <c r="F115" s="201" t="s">
        <v>450</v>
      </c>
      <c r="G115" s="150" t="s">
        <v>397</v>
      </c>
      <c r="H115" s="151" t="s">
        <v>160</v>
      </c>
      <c r="I115" s="155">
        <v>4206375.5199999996</v>
      </c>
      <c r="J115" s="154">
        <f>+I115</f>
        <v>4206375.5199999996</v>
      </c>
      <c r="K115" s="165"/>
      <c r="L115" s="165"/>
      <c r="M115" s="165"/>
      <c r="N115" s="200"/>
      <c r="O115" s="165"/>
    </row>
    <row r="116" spans="1:15" s="166" customFormat="1" ht="12.75" customHeight="1" x14ac:dyDescent="0.2">
      <c r="A116" s="162"/>
      <c r="B116" s="163"/>
      <c r="C116" s="165"/>
      <c r="D116" s="164"/>
      <c r="E116" s="164"/>
      <c r="F116" s="202"/>
      <c r="G116" s="156"/>
      <c r="H116" s="157"/>
      <c r="I116" s="161">
        <f>SUM(I115)</f>
        <v>4206375.5199999996</v>
      </c>
      <c r="J116" s="161">
        <f t="shared" ref="J116:L116" si="34">SUM(J115)</f>
        <v>4206375.5199999996</v>
      </c>
      <c r="K116" s="161">
        <f t="shared" si="34"/>
        <v>0</v>
      </c>
      <c r="L116" s="161">
        <f t="shared" si="34"/>
        <v>0</v>
      </c>
      <c r="M116" s="160"/>
      <c r="N116" s="161">
        <f>+E115-I116</f>
        <v>0</v>
      </c>
      <c r="O116" s="165"/>
    </row>
    <row r="117" spans="1:15" s="166" customFormat="1" ht="12.75" customHeight="1" x14ac:dyDescent="0.2">
      <c r="A117" s="162" t="s">
        <v>302</v>
      </c>
      <c r="B117" s="163" t="s">
        <v>303</v>
      </c>
      <c r="C117" s="165"/>
      <c r="D117" s="164">
        <v>1500000</v>
      </c>
      <c r="E117" s="164">
        <v>3956192.29</v>
      </c>
      <c r="F117" s="203"/>
      <c r="G117" s="150"/>
      <c r="H117" s="151"/>
      <c r="I117" s="155">
        <v>0</v>
      </c>
      <c r="J117" s="165"/>
      <c r="K117" s="165"/>
      <c r="L117" s="165"/>
      <c r="M117" s="165"/>
      <c r="N117" s="200"/>
      <c r="O117" s="165"/>
    </row>
    <row r="118" spans="1:15" s="166" customFormat="1" ht="12.75" customHeight="1" x14ac:dyDescent="0.2">
      <c r="A118" s="162"/>
      <c r="B118" s="163"/>
      <c r="C118" s="165"/>
      <c r="D118" s="164"/>
      <c r="E118" s="164"/>
      <c r="F118" s="202"/>
      <c r="G118" s="156"/>
      <c r="H118" s="157"/>
      <c r="I118" s="187">
        <f>SUM(I117)</f>
        <v>0</v>
      </c>
      <c r="J118" s="187">
        <f t="shared" ref="J118:L118" si="35">SUM(J117)</f>
        <v>0</v>
      </c>
      <c r="K118" s="187">
        <f t="shared" si="35"/>
        <v>0</v>
      </c>
      <c r="L118" s="187">
        <f t="shared" si="35"/>
        <v>0</v>
      </c>
      <c r="M118" s="160"/>
      <c r="N118" s="161">
        <f>+E117-I118</f>
        <v>3956192.29</v>
      </c>
      <c r="O118" s="195" t="s">
        <v>439</v>
      </c>
    </row>
    <row r="119" spans="1:15" s="166" customFormat="1" ht="12.75" customHeight="1" x14ac:dyDescent="0.2">
      <c r="A119" s="162" t="s">
        <v>304</v>
      </c>
      <c r="B119" s="163" t="s">
        <v>305</v>
      </c>
      <c r="C119" s="165"/>
      <c r="D119" s="164">
        <v>25000000</v>
      </c>
      <c r="E119" s="164">
        <v>44006918.539999999</v>
      </c>
      <c r="F119" s="201" t="s">
        <v>450</v>
      </c>
      <c r="G119" s="150" t="s">
        <v>399</v>
      </c>
      <c r="H119" s="151" t="s">
        <v>155</v>
      </c>
      <c r="I119" s="155">
        <v>9107311.3900000006</v>
      </c>
      <c r="J119" s="154">
        <f>+I119</f>
        <v>9107311.3900000006</v>
      </c>
      <c r="K119" s="165"/>
      <c r="L119" s="165"/>
      <c r="M119" s="165"/>
      <c r="N119" s="200"/>
      <c r="O119" s="165"/>
    </row>
    <row r="120" spans="1:15" s="166" customFormat="1" ht="12.75" customHeight="1" x14ac:dyDescent="0.2">
      <c r="A120" s="162"/>
      <c r="B120" s="163"/>
      <c r="C120" s="165"/>
      <c r="D120" s="164"/>
      <c r="E120" s="164"/>
      <c r="F120" s="201" t="s">
        <v>450</v>
      </c>
      <c r="G120" s="150" t="s">
        <v>399</v>
      </c>
      <c r="H120" s="151" t="s">
        <v>156</v>
      </c>
      <c r="I120" s="155">
        <v>6348292.3700000001</v>
      </c>
      <c r="J120" s="154">
        <f>+I120</f>
        <v>6348292.3700000001</v>
      </c>
      <c r="K120" s="165"/>
      <c r="L120" s="165"/>
      <c r="M120" s="165"/>
      <c r="N120" s="200"/>
      <c r="O120" s="165"/>
    </row>
    <row r="121" spans="1:15" s="166" customFormat="1" ht="12.75" customHeight="1" x14ac:dyDescent="0.2">
      <c r="A121" s="162"/>
      <c r="B121" s="163"/>
      <c r="C121" s="165"/>
      <c r="D121" s="164"/>
      <c r="E121" s="164"/>
      <c r="F121" s="201" t="s">
        <v>450</v>
      </c>
      <c r="G121" s="150" t="s">
        <v>399</v>
      </c>
      <c r="H121" s="151" t="s">
        <v>160</v>
      </c>
      <c r="I121" s="155">
        <v>8974490.4800000004</v>
      </c>
      <c r="J121" s="154">
        <f t="shared" ref="J121:J122" si="36">+I121</f>
        <v>8974490.4800000004</v>
      </c>
      <c r="K121" s="165"/>
      <c r="L121" s="165"/>
      <c r="M121" s="165"/>
      <c r="N121" s="200"/>
      <c r="O121" s="165"/>
    </row>
    <row r="122" spans="1:15" s="166" customFormat="1" ht="12.75" customHeight="1" x14ac:dyDescent="0.2">
      <c r="A122" s="162"/>
      <c r="B122" s="163"/>
      <c r="C122" s="165"/>
      <c r="D122" s="164"/>
      <c r="E122" s="164"/>
      <c r="F122" s="201" t="s">
        <v>450</v>
      </c>
      <c r="G122" s="150" t="s">
        <v>397</v>
      </c>
      <c r="H122" s="151" t="s">
        <v>160</v>
      </c>
      <c r="I122" s="155">
        <f>3900000+793624.48</f>
        <v>4693624.4800000004</v>
      </c>
      <c r="J122" s="154">
        <f t="shared" si="36"/>
        <v>4693624.4800000004</v>
      </c>
      <c r="K122" s="165"/>
      <c r="L122" s="165"/>
      <c r="M122" s="165"/>
      <c r="N122" s="200"/>
      <c r="O122" s="165"/>
    </row>
    <row r="123" spans="1:15" s="166" customFormat="1" ht="12.75" customHeight="1" x14ac:dyDescent="0.2">
      <c r="A123" s="162"/>
      <c r="B123" s="163"/>
      <c r="C123" s="165"/>
      <c r="D123" s="164"/>
      <c r="E123" s="164"/>
      <c r="F123" s="202"/>
      <c r="G123" s="156"/>
      <c r="H123" s="157"/>
      <c r="I123" s="161">
        <f>SUM(I119:I122)</f>
        <v>29123718.720000003</v>
      </c>
      <c r="J123" s="161">
        <f t="shared" ref="J123:L123" si="37">SUM(J119:J122)</f>
        <v>29123718.720000003</v>
      </c>
      <c r="K123" s="161">
        <f t="shared" si="37"/>
        <v>0</v>
      </c>
      <c r="L123" s="161">
        <f t="shared" si="37"/>
        <v>0</v>
      </c>
      <c r="M123" s="160"/>
      <c r="N123" s="161">
        <f>+E119-I123</f>
        <v>14883199.819999997</v>
      </c>
      <c r="O123" s="195" t="s">
        <v>439</v>
      </c>
    </row>
    <row r="124" spans="1:15" s="166" customFormat="1" ht="12.75" customHeight="1" x14ac:dyDescent="0.2">
      <c r="A124" s="162" t="s">
        <v>306</v>
      </c>
      <c r="B124" s="163" t="s">
        <v>307</v>
      </c>
      <c r="C124" s="165"/>
      <c r="D124" s="164">
        <v>0</v>
      </c>
      <c r="E124" s="164">
        <v>10049405.950000001</v>
      </c>
      <c r="F124" s="201" t="s">
        <v>451</v>
      </c>
      <c r="G124" s="150" t="s">
        <v>405</v>
      </c>
      <c r="H124" s="151" t="s">
        <v>155</v>
      </c>
      <c r="I124" s="155">
        <f>3000000-3000000</f>
        <v>0</v>
      </c>
      <c r="J124" s="154">
        <f>+I124</f>
        <v>0</v>
      </c>
      <c r="K124" s="165"/>
      <c r="L124" s="165"/>
      <c r="M124" s="165"/>
      <c r="N124" s="200"/>
      <c r="O124" s="165"/>
    </row>
    <row r="125" spans="1:15" s="166" customFormat="1" ht="12.75" customHeight="1" x14ac:dyDescent="0.2">
      <c r="A125" s="162"/>
      <c r="B125" s="163"/>
      <c r="C125" s="165"/>
      <c r="D125" s="164"/>
      <c r="E125" s="164"/>
      <c r="F125" s="201" t="s">
        <v>451</v>
      </c>
      <c r="G125" s="150" t="s">
        <v>404</v>
      </c>
      <c r="H125" s="151" t="s">
        <v>155</v>
      </c>
      <c r="I125" s="155">
        <v>348343.2</v>
      </c>
      <c r="J125" s="154">
        <f t="shared" ref="J125:J127" si="38">+I125</f>
        <v>348343.2</v>
      </c>
      <c r="K125" s="165"/>
      <c r="L125" s="165"/>
      <c r="M125" s="165"/>
      <c r="N125" s="200"/>
      <c r="O125" s="165"/>
    </row>
    <row r="126" spans="1:15" s="166" customFormat="1" ht="12.75" customHeight="1" x14ac:dyDescent="0.2">
      <c r="A126" s="162"/>
      <c r="B126" s="163"/>
      <c r="C126" s="165"/>
      <c r="D126" s="164"/>
      <c r="E126" s="164"/>
      <c r="F126" s="201" t="s">
        <v>451</v>
      </c>
      <c r="G126" s="150" t="s">
        <v>406</v>
      </c>
      <c r="H126" s="151" t="s">
        <v>156</v>
      </c>
      <c r="I126" s="155">
        <v>270900</v>
      </c>
      <c r="J126" s="154">
        <f t="shared" si="38"/>
        <v>270900</v>
      </c>
      <c r="K126" s="165"/>
      <c r="L126" s="165"/>
      <c r="M126" s="165"/>
      <c r="N126" s="200"/>
      <c r="O126" s="165"/>
    </row>
    <row r="127" spans="1:15" s="166" customFormat="1" ht="12.75" customHeight="1" x14ac:dyDescent="0.2">
      <c r="A127" s="162"/>
      <c r="B127" s="163"/>
      <c r="C127" s="165"/>
      <c r="D127" s="164"/>
      <c r="E127" s="164"/>
      <c r="F127" s="201" t="s">
        <v>451</v>
      </c>
      <c r="G127" s="150" t="s">
        <v>407</v>
      </c>
      <c r="H127" s="151" t="s">
        <v>155</v>
      </c>
      <c r="I127" s="155">
        <v>3000000</v>
      </c>
      <c r="J127" s="154">
        <f t="shared" si="38"/>
        <v>3000000</v>
      </c>
      <c r="K127" s="165"/>
      <c r="L127" s="165"/>
      <c r="M127" s="165"/>
      <c r="N127" s="200"/>
      <c r="O127" s="165"/>
    </row>
    <row r="128" spans="1:15" s="166" customFormat="1" ht="12.75" customHeight="1" x14ac:dyDescent="0.2">
      <c r="A128" s="162"/>
      <c r="B128" s="163"/>
      <c r="C128" s="165"/>
      <c r="D128" s="164"/>
      <c r="E128" s="164"/>
      <c r="F128" s="202"/>
      <c r="G128" s="156"/>
      <c r="H128" s="157"/>
      <c r="I128" s="161">
        <f>SUM(I124:I127)</f>
        <v>3619243.2</v>
      </c>
      <c r="J128" s="161">
        <f t="shared" ref="J128:L128" si="39">SUM(J124:J127)</f>
        <v>3619243.2</v>
      </c>
      <c r="K128" s="161">
        <f t="shared" si="39"/>
        <v>0</v>
      </c>
      <c r="L128" s="161">
        <f t="shared" si="39"/>
        <v>0</v>
      </c>
      <c r="M128" s="160"/>
      <c r="N128" s="161">
        <f>+E124-I128</f>
        <v>6430162.7500000009</v>
      </c>
      <c r="O128" s="195" t="s">
        <v>439</v>
      </c>
    </row>
    <row r="129" spans="1:15" s="166" customFormat="1" ht="12.75" customHeight="1" x14ac:dyDescent="0.2">
      <c r="A129" s="162" t="s">
        <v>308</v>
      </c>
      <c r="B129" s="163" t="s">
        <v>309</v>
      </c>
      <c r="C129" s="165" t="s">
        <v>323</v>
      </c>
      <c r="D129" s="164">
        <v>3041216</v>
      </c>
      <c r="E129" s="164">
        <v>3041216</v>
      </c>
      <c r="F129" s="203"/>
      <c r="G129" s="150"/>
      <c r="H129" s="151"/>
      <c r="I129" s="155">
        <v>0</v>
      </c>
      <c r="J129" s="165"/>
      <c r="K129" s="165"/>
      <c r="L129" s="165"/>
      <c r="M129" s="165"/>
      <c r="N129" s="200"/>
      <c r="O129" s="165"/>
    </row>
    <row r="130" spans="1:15" s="166" customFormat="1" ht="12.75" customHeight="1" x14ac:dyDescent="0.2">
      <c r="A130" s="162"/>
      <c r="B130" s="163"/>
      <c r="C130" s="165"/>
      <c r="D130" s="164"/>
      <c r="E130" s="164"/>
      <c r="F130" s="202"/>
      <c r="G130" s="156"/>
      <c r="H130" s="157"/>
      <c r="I130" s="161">
        <f>SUM(I129)</f>
        <v>0</v>
      </c>
      <c r="J130" s="161">
        <f t="shared" ref="J130:L130" si="40">SUM(J129)</f>
        <v>0</v>
      </c>
      <c r="K130" s="161">
        <f t="shared" si="40"/>
        <v>0</v>
      </c>
      <c r="L130" s="161">
        <f t="shared" si="40"/>
        <v>0</v>
      </c>
      <c r="M130" s="160"/>
      <c r="N130" s="161">
        <f>+E129-I130</f>
        <v>3041216</v>
      </c>
      <c r="O130" s="210" t="s">
        <v>431</v>
      </c>
    </row>
    <row r="131" spans="1:15" s="166" customFormat="1" ht="12.75" customHeight="1" x14ac:dyDescent="0.2">
      <c r="A131" s="162" t="s">
        <v>310</v>
      </c>
      <c r="B131" s="163" t="s">
        <v>311</v>
      </c>
      <c r="C131" s="165" t="s">
        <v>324</v>
      </c>
      <c r="D131" s="164">
        <v>5279768.17</v>
      </c>
      <c r="E131" s="164">
        <v>7394358.2799999993</v>
      </c>
      <c r="F131" s="201" t="s">
        <v>450</v>
      </c>
      <c r="G131" s="150" t="s">
        <v>399</v>
      </c>
      <c r="H131" s="151" t="s">
        <v>156</v>
      </c>
      <c r="I131" s="155">
        <v>2595562.17</v>
      </c>
      <c r="J131" s="154">
        <f>+I131</f>
        <v>2595562.17</v>
      </c>
      <c r="K131" s="165"/>
      <c r="L131" s="165"/>
      <c r="M131" s="165"/>
      <c r="N131" s="200"/>
      <c r="O131" s="165"/>
    </row>
    <row r="132" spans="1:15" s="166" customFormat="1" ht="12.75" customHeight="1" x14ac:dyDescent="0.2">
      <c r="A132" s="162"/>
      <c r="B132" s="163"/>
      <c r="C132" s="165"/>
      <c r="D132" s="164"/>
      <c r="E132" s="164"/>
      <c r="F132" s="201" t="s">
        <v>450</v>
      </c>
      <c r="G132" s="150" t="s">
        <v>399</v>
      </c>
      <c r="H132" s="151" t="s">
        <v>157</v>
      </c>
      <c r="I132" s="155">
        <v>2066711.36</v>
      </c>
      <c r="J132" s="154">
        <f>+I132</f>
        <v>2066711.36</v>
      </c>
      <c r="K132" s="165"/>
      <c r="L132" s="165"/>
      <c r="M132" s="165"/>
      <c r="N132" s="200"/>
      <c r="O132" s="165"/>
    </row>
    <row r="133" spans="1:15" s="166" customFormat="1" ht="12.75" customHeight="1" x14ac:dyDescent="0.2">
      <c r="A133" s="162"/>
      <c r="B133" s="163"/>
      <c r="C133" s="165"/>
      <c r="D133" s="164"/>
      <c r="E133" s="164"/>
      <c r="F133" s="202"/>
      <c r="G133" s="156"/>
      <c r="H133" s="157"/>
      <c r="I133" s="161">
        <f>SUM(I131:I132)</f>
        <v>4662273.53</v>
      </c>
      <c r="J133" s="161">
        <f t="shared" ref="J133:L133" si="41">SUM(J131:J132)</f>
        <v>4662273.53</v>
      </c>
      <c r="K133" s="161">
        <f t="shared" si="41"/>
        <v>0</v>
      </c>
      <c r="L133" s="161">
        <f t="shared" si="41"/>
        <v>0</v>
      </c>
      <c r="M133" s="160"/>
      <c r="N133" s="161">
        <f>+E131-I133</f>
        <v>2732084.7499999991</v>
      </c>
      <c r="O133" s="195" t="s">
        <v>439</v>
      </c>
    </row>
    <row r="134" spans="1:15" s="166" customFormat="1" ht="12.75" customHeight="1" x14ac:dyDescent="0.2">
      <c r="A134" s="162" t="s">
        <v>312</v>
      </c>
      <c r="B134" s="163" t="s">
        <v>313</v>
      </c>
      <c r="C134" s="165" t="s">
        <v>325</v>
      </c>
      <c r="D134" s="164">
        <v>10000000</v>
      </c>
      <c r="E134" s="164">
        <v>0</v>
      </c>
      <c r="F134" s="203"/>
      <c r="G134" s="150"/>
      <c r="H134" s="151"/>
      <c r="I134" s="155">
        <v>0</v>
      </c>
      <c r="J134" s="165"/>
      <c r="K134" s="165"/>
      <c r="L134" s="165"/>
      <c r="M134" s="165"/>
      <c r="N134" s="200"/>
      <c r="O134" s="165"/>
    </row>
    <row r="135" spans="1:15" s="166" customFormat="1" ht="12.75" x14ac:dyDescent="0.2">
      <c r="A135" s="162" t="s">
        <v>314</v>
      </c>
      <c r="B135" s="163" t="s">
        <v>315</v>
      </c>
      <c r="C135" s="165" t="s">
        <v>88</v>
      </c>
      <c r="D135" s="164">
        <v>1453653481.8599999</v>
      </c>
      <c r="E135" s="164">
        <v>1453653482</v>
      </c>
      <c r="F135" s="201" t="s">
        <v>451</v>
      </c>
      <c r="G135" s="150" t="s">
        <v>347</v>
      </c>
      <c r="H135" s="151" t="s">
        <v>154</v>
      </c>
      <c r="I135" s="155">
        <f>186496063</f>
        <v>186496063</v>
      </c>
      <c r="J135" s="165"/>
      <c r="K135" s="66">
        <f>+I135</f>
        <v>186496063</v>
      </c>
      <c r="L135" s="165"/>
      <c r="M135" s="165"/>
      <c r="N135" s="200"/>
      <c r="O135" s="165"/>
    </row>
    <row r="136" spans="1:15" s="166" customFormat="1" ht="12.75" customHeight="1" x14ac:dyDescent="0.2">
      <c r="A136" s="162"/>
      <c r="B136" s="163"/>
      <c r="C136" s="165"/>
      <c r="D136" s="164"/>
      <c r="E136" s="164"/>
      <c r="F136" s="201" t="s">
        <v>451</v>
      </c>
      <c r="G136" s="150" t="s">
        <v>347</v>
      </c>
      <c r="H136" s="151" t="s">
        <v>155</v>
      </c>
      <c r="I136" s="155">
        <v>13002400.210000001</v>
      </c>
      <c r="J136" s="165"/>
      <c r="K136" s="66">
        <f t="shared" ref="K136:K137" si="42">+I136</f>
        <v>13002400.210000001</v>
      </c>
      <c r="L136" s="165"/>
      <c r="M136" s="165"/>
      <c r="N136" s="200"/>
      <c r="O136" s="165"/>
    </row>
    <row r="137" spans="1:15" s="166" customFormat="1" ht="12.75" customHeight="1" x14ac:dyDescent="0.2">
      <c r="A137" s="162"/>
      <c r="B137" s="163"/>
      <c r="C137" s="165"/>
      <c r="D137" s="164"/>
      <c r="E137" s="164"/>
      <c r="F137" s="201" t="s">
        <v>451</v>
      </c>
      <c r="G137" s="150" t="s">
        <v>347</v>
      </c>
      <c r="H137" s="151" t="s">
        <v>156</v>
      </c>
      <c r="I137" s="155">
        <v>3136425</v>
      </c>
      <c r="J137" s="165"/>
      <c r="K137" s="66">
        <f t="shared" si="42"/>
        <v>3136425</v>
      </c>
      <c r="L137" s="165"/>
      <c r="M137" s="165"/>
      <c r="N137" s="200"/>
      <c r="O137" s="165"/>
    </row>
    <row r="138" spans="1:15" s="166" customFormat="1" ht="12.75" customHeight="1" x14ac:dyDescent="0.2">
      <c r="A138" s="162"/>
      <c r="B138" s="163"/>
      <c r="C138" s="165"/>
      <c r="D138" s="164"/>
      <c r="E138" s="164"/>
      <c r="F138" s="201" t="s">
        <v>451</v>
      </c>
      <c r="G138" s="150" t="s">
        <v>347</v>
      </c>
      <c r="H138" s="151" t="s">
        <v>159</v>
      </c>
      <c r="I138" s="155">
        <v>162000</v>
      </c>
      <c r="J138" s="165"/>
      <c r="K138" s="66">
        <f>+I138</f>
        <v>162000</v>
      </c>
      <c r="L138" s="165"/>
      <c r="M138" s="165"/>
      <c r="N138" s="200"/>
      <c r="O138" s="165"/>
    </row>
    <row r="139" spans="1:15" s="166" customFormat="1" ht="12.75" customHeight="1" x14ac:dyDescent="0.2">
      <c r="A139" s="162"/>
      <c r="B139" s="163"/>
      <c r="C139" s="165"/>
      <c r="D139" s="164"/>
      <c r="E139" s="164"/>
      <c r="F139" s="201" t="s">
        <v>451</v>
      </c>
      <c r="G139" s="150" t="s">
        <v>347</v>
      </c>
      <c r="H139" s="151" t="s">
        <v>160</v>
      </c>
      <c r="I139" s="155">
        <v>19546.62</v>
      </c>
      <c r="J139" s="154">
        <f>+I139</f>
        <v>19546.62</v>
      </c>
      <c r="K139" s="66"/>
      <c r="L139" s="165"/>
      <c r="M139" s="165"/>
      <c r="N139" s="200"/>
      <c r="O139" s="165"/>
    </row>
    <row r="140" spans="1:15" s="166" customFormat="1" ht="12.75" customHeight="1" x14ac:dyDescent="0.2">
      <c r="A140" s="162"/>
      <c r="B140" s="163"/>
      <c r="C140" s="165"/>
      <c r="D140" s="164"/>
      <c r="E140" s="164"/>
      <c r="F140" s="201" t="s">
        <v>451</v>
      </c>
      <c r="G140" s="150" t="s">
        <v>348</v>
      </c>
      <c r="H140" s="151" t="s">
        <v>155</v>
      </c>
      <c r="I140" s="155">
        <f>95370240.19-1479140.26-5477004.18</f>
        <v>88414095.75</v>
      </c>
      <c r="J140" s="165"/>
      <c r="K140" s="66">
        <f t="shared" ref="K140:K141" si="43">+I140</f>
        <v>88414095.75</v>
      </c>
      <c r="L140" s="165"/>
      <c r="M140" s="165"/>
      <c r="N140" s="200"/>
      <c r="O140" s="165"/>
    </row>
    <row r="141" spans="1:15" s="166" customFormat="1" ht="12.75" customHeight="1" x14ac:dyDescent="0.2">
      <c r="A141" s="162"/>
      <c r="B141" s="163"/>
      <c r="C141" s="165"/>
      <c r="D141" s="164"/>
      <c r="E141" s="164"/>
      <c r="F141" s="201" t="s">
        <v>451</v>
      </c>
      <c r="G141" s="150" t="s">
        <v>348</v>
      </c>
      <c r="H141" s="151" t="s">
        <v>156</v>
      </c>
      <c r="I141" s="155">
        <f>100760386.27-9014526.25</f>
        <v>91745860.019999996</v>
      </c>
      <c r="J141" s="165"/>
      <c r="K141" s="66">
        <f t="shared" si="43"/>
        <v>91745860.019999996</v>
      </c>
      <c r="L141" s="165"/>
      <c r="M141" s="165"/>
      <c r="N141" s="200"/>
      <c r="O141" s="165"/>
    </row>
    <row r="142" spans="1:15" s="166" customFormat="1" ht="12.75" customHeight="1" x14ac:dyDescent="0.2">
      <c r="A142" s="162"/>
      <c r="B142" s="163"/>
      <c r="C142" s="165"/>
      <c r="D142" s="164"/>
      <c r="E142" s="164"/>
      <c r="F142" s="201" t="s">
        <v>451</v>
      </c>
      <c r="G142" s="169" t="s">
        <v>349</v>
      </c>
      <c r="H142" s="151" t="s">
        <v>159</v>
      </c>
      <c r="I142" s="155">
        <v>3313989</v>
      </c>
      <c r="J142" s="165"/>
      <c r="K142" s="66">
        <f t="shared" ref="K142:K168" si="44">+I142</f>
        <v>3313989</v>
      </c>
      <c r="L142" s="165"/>
      <c r="M142" s="165"/>
      <c r="N142" s="200"/>
      <c r="O142" s="165"/>
    </row>
    <row r="143" spans="1:15" s="166" customFormat="1" ht="12.75" customHeight="1" x14ac:dyDescent="0.2">
      <c r="A143" s="162"/>
      <c r="B143" s="163"/>
      <c r="C143" s="165"/>
      <c r="D143" s="164"/>
      <c r="E143" s="164"/>
      <c r="F143" s="201" t="s">
        <v>451</v>
      </c>
      <c r="G143" s="169" t="s">
        <v>350</v>
      </c>
      <c r="H143" s="151" t="s">
        <v>159</v>
      </c>
      <c r="I143" s="155">
        <v>21475852</v>
      </c>
      <c r="J143" s="165"/>
      <c r="K143" s="66">
        <f t="shared" si="44"/>
        <v>21475852</v>
      </c>
      <c r="L143" s="165"/>
      <c r="M143" s="165"/>
      <c r="N143" s="200"/>
      <c r="O143" s="165"/>
    </row>
    <row r="144" spans="1:15" s="166" customFormat="1" ht="12.75" customHeight="1" x14ac:dyDescent="0.2">
      <c r="A144" s="162"/>
      <c r="B144" s="163"/>
      <c r="C144" s="165"/>
      <c r="D144" s="164"/>
      <c r="E144" s="164"/>
      <c r="F144" s="201" t="s">
        <v>451</v>
      </c>
      <c r="G144" s="169" t="s">
        <v>351</v>
      </c>
      <c r="H144" s="151" t="s">
        <v>159</v>
      </c>
      <c r="I144" s="155">
        <v>9052610</v>
      </c>
      <c r="J144" s="165"/>
      <c r="K144" s="66">
        <f t="shared" si="44"/>
        <v>9052610</v>
      </c>
      <c r="L144" s="165"/>
      <c r="M144" s="165"/>
      <c r="N144" s="200"/>
      <c r="O144" s="165"/>
    </row>
    <row r="145" spans="1:15" s="166" customFormat="1" ht="12.75" customHeight="1" x14ac:dyDescent="0.2">
      <c r="A145" s="162"/>
      <c r="B145" s="163"/>
      <c r="C145" s="165"/>
      <c r="D145" s="164"/>
      <c r="E145" s="164"/>
      <c r="F145" s="201" t="s">
        <v>451</v>
      </c>
      <c r="G145" s="169" t="s">
        <v>352</v>
      </c>
      <c r="H145" s="151" t="s">
        <v>159</v>
      </c>
      <c r="I145" s="155">
        <f>106635260-13245466.85</f>
        <v>93389793.150000006</v>
      </c>
      <c r="J145" s="165"/>
      <c r="K145" s="66">
        <f t="shared" si="44"/>
        <v>93389793.150000006</v>
      </c>
      <c r="L145" s="165"/>
      <c r="M145" s="165"/>
      <c r="N145" s="200"/>
      <c r="O145" s="165"/>
    </row>
    <row r="146" spans="1:15" s="166" customFormat="1" ht="12.75" customHeight="1" x14ac:dyDescent="0.2">
      <c r="A146" s="162"/>
      <c r="B146" s="163"/>
      <c r="C146" s="165"/>
      <c r="D146" s="164"/>
      <c r="E146" s="164"/>
      <c r="F146" s="201" t="s">
        <v>451</v>
      </c>
      <c r="G146" s="169" t="s">
        <v>353</v>
      </c>
      <c r="H146" s="151" t="s">
        <v>159</v>
      </c>
      <c r="I146" s="155">
        <v>19142100</v>
      </c>
      <c r="J146" s="165"/>
      <c r="K146" s="66">
        <f t="shared" si="44"/>
        <v>19142100</v>
      </c>
      <c r="L146" s="165"/>
      <c r="M146" s="165"/>
      <c r="N146" s="200"/>
      <c r="O146" s="165"/>
    </row>
    <row r="147" spans="1:15" s="166" customFormat="1" ht="12.75" customHeight="1" x14ac:dyDescent="0.2">
      <c r="A147" s="162"/>
      <c r="B147" s="163"/>
      <c r="C147" s="165"/>
      <c r="D147" s="164"/>
      <c r="E147" s="164"/>
      <c r="F147" s="201" t="s">
        <v>451</v>
      </c>
      <c r="G147" s="169" t="s">
        <v>354</v>
      </c>
      <c r="H147" s="151" t="s">
        <v>159</v>
      </c>
      <c r="I147" s="155">
        <v>15382813.800000001</v>
      </c>
      <c r="J147" s="165"/>
      <c r="K147" s="66">
        <f t="shared" si="44"/>
        <v>15382813.800000001</v>
      </c>
      <c r="L147" s="165"/>
      <c r="M147" s="165"/>
      <c r="N147" s="200"/>
      <c r="O147" s="165"/>
    </row>
    <row r="148" spans="1:15" s="166" customFormat="1" ht="12.75" customHeight="1" x14ac:dyDescent="0.2">
      <c r="A148" s="162"/>
      <c r="B148" s="163"/>
      <c r="C148" s="165"/>
      <c r="D148" s="164"/>
      <c r="E148" s="164"/>
      <c r="F148" s="201" t="s">
        <v>451</v>
      </c>
      <c r="G148" s="169" t="s">
        <v>355</v>
      </c>
      <c r="H148" s="151" t="s">
        <v>159</v>
      </c>
      <c r="I148" s="155">
        <v>28316313.75</v>
      </c>
      <c r="J148" s="165"/>
      <c r="K148" s="66">
        <f t="shared" si="44"/>
        <v>28316313.75</v>
      </c>
      <c r="L148" s="165"/>
      <c r="M148" s="165"/>
      <c r="N148" s="200"/>
      <c r="O148" s="165"/>
    </row>
    <row r="149" spans="1:15" s="166" customFormat="1" ht="12.75" customHeight="1" x14ac:dyDescent="0.2">
      <c r="A149" s="162"/>
      <c r="B149" s="163"/>
      <c r="C149" s="165"/>
      <c r="D149" s="164"/>
      <c r="E149" s="164"/>
      <c r="F149" s="201" t="s">
        <v>451</v>
      </c>
      <c r="G149" s="169" t="s">
        <v>356</v>
      </c>
      <c r="H149" s="151" t="s">
        <v>159</v>
      </c>
      <c r="I149" s="155">
        <v>6506756.0999999996</v>
      </c>
      <c r="J149" s="165"/>
      <c r="K149" s="66">
        <f t="shared" si="44"/>
        <v>6506756.0999999996</v>
      </c>
      <c r="L149" s="165"/>
      <c r="M149" s="165"/>
      <c r="N149" s="200"/>
      <c r="O149" s="165"/>
    </row>
    <row r="150" spans="1:15" s="166" customFormat="1" ht="12.75" customHeight="1" x14ac:dyDescent="0.2">
      <c r="A150" s="162"/>
      <c r="B150" s="163"/>
      <c r="C150" s="165"/>
      <c r="D150" s="164"/>
      <c r="E150" s="164"/>
      <c r="F150" s="201" t="s">
        <v>451</v>
      </c>
      <c r="G150" s="169" t="s">
        <v>357</v>
      </c>
      <c r="H150" s="151" t="s">
        <v>159</v>
      </c>
      <c r="I150" s="155">
        <f>59548672.2-9124135.08</f>
        <v>50424537.120000005</v>
      </c>
      <c r="J150" s="165"/>
      <c r="K150" s="66">
        <f t="shared" si="44"/>
        <v>50424537.120000005</v>
      </c>
      <c r="L150" s="165"/>
      <c r="M150" s="165"/>
      <c r="N150" s="200"/>
      <c r="O150" s="165"/>
    </row>
    <row r="151" spans="1:15" s="166" customFormat="1" ht="12.75" customHeight="1" x14ac:dyDescent="0.2">
      <c r="A151" s="162"/>
      <c r="B151" s="163"/>
      <c r="C151" s="165"/>
      <c r="D151" s="164"/>
      <c r="E151" s="164"/>
      <c r="F151" s="201" t="s">
        <v>451</v>
      </c>
      <c r="G151" s="169" t="s">
        <v>358</v>
      </c>
      <c r="H151" s="151" t="s">
        <v>159</v>
      </c>
      <c r="I151" s="155">
        <v>25358421.59</v>
      </c>
      <c r="J151" s="165"/>
      <c r="K151" s="66">
        <f t="shared" si="44"/>
        <v>25358421.59</v>
      </c>
      <c r="L151" s="165"/>
      <c r="M151" s="165"/>
      <c r="N151" s="200"/>
      <c r="O151" s="165"/>
    </row>
    <row r="152" spans="1:15" s="166" customFormat="1" ht="12.75" customHeight="1" x14ac:dyDescent="0.2">
      <c r="A152" s="162"/>
      <c r="B152" s="163"/>
      <c r="C152" s="165"/>
      <c r="D152" s="164"/>
      <c r="E152" s="164"/>
      <c r="F152" s="201" t="s">
        <v>451</v>
      </c>
      <c r="G152" s="169" t="s">
        <v>359</v>
      </c>
      <c r="H152" s="151" t="s">
        <v>159</v>
      </c>
      <c r="I152" s="155">
        <v>20495679.899999999</v>
      </c>
      <c r="J152" s="165"/>
      <c r="K152" s="66">
        <f t="shared" si="44"/>
        <v>20495679.899999999</v>
      </c>
      <c r="L152" s="165"/>
      <c r="M152" s="165"/>
      <c r="N152" s="200"/>
      <c r="O152" s="165"/>
    </row>
    <row r="153" spans="1:15" s="166" customFormat="1" ht="12.75" customHeight="1" x14ac:dyDescent="0.2">
      <c r="A153" s="162"/>
      <c r="B153" s="163"/>
      <c r="C153" s="165"/>
      <c r="D153" s="164"/>
      <c r="E153" s="164"/>
      <c r="F153" s="201" t="s">
        <v>451</v>
      </c>
      <c r="G153" s="169" t="s">
        <v>360</v>
      </c>
      <c r="H153" s="151" t="s">
        <v>159</v>
      </c>
      <c r="I153" s="155">
        <v>55649413.380000003</v>
      </c>
      <c r="J153" s="165"/>
      <c r="K153" s="66">
        <f t="shared" si="44"/>
        <v>55649413.380000003</v>
      </c>
      <c r="L153" s="165"/>
      <c r="M153" s="165"/>
      <c r="N153" s="200"/>
      <c r="O153" s="165"/>
    </row>
    <row r="154" spans="1:15" s="166" customFormat="1" ht="12.75" customHeight="1" x14ac:dyDescent="0.2">
      <c r="A154" s="162"/>
      <c r="B154" s="163"/>
      <c r="C154" s="165"/>
      <c r="D154" s="164"/>
      <c r="E154" s="164"/>
      <c r="F154" s="201" t="s">
        <v>451</v>
      </c>
      <c r="G154" s="169" t="s">
        <v>361</v>
      </c>
      <c r="H154" s="151" t="s">
        <v>159</v>
      </c>
      <c r="I154" s="155">
        <f>11576820.36-1520859.18</f>
        <v>10055961.18</v>
      </c>
      <c r="J154" s="165"/>
      <c r="K154" s="66">
        <f t="shared" si="44"/>
        <v>10055961.18</v>
      </c>
      <c r="L154" s="165"/>
      <c r="M154" s="165"/>
      <c r="N154" s="200"/>
      <c r="O154" s="165"/>
    </row>
    <row r="155" spans="1:15" s="166" customFormat="1" ht="12.75" customHeight="1" x14ac:dyDescent="0.2">
      <c r="A155" s="162"/>
      <c r="B155" s="163"/>
      <c r="C155" s="165"/>
      <c r="D155" s="164"/>
      <c r="E155" s="164"/>
      <c r="F155" s="201" t="s">
        <v>451</v>
      </c>
      <c r="G155" s="169" t="s">
        <v>362</v>
      </c>
      <c r="H155" s="151" t="s">
        <v>159</v>
      </c>
      <c r="I155" s="155">
        <v>47404600</v>
      </c>
      <c r="J155" s="165"/>
      <c r="K155" s="66">
        <f t="shared" si="44"/>
        <v>47404600</v>
      </c>
      <c r="L155" s="165"/>
      <c r="M155" s="165"/>
      <c r="N155" s="200"/>
      <c r="O155" s="165"/>
    </row>
    <row r="156" spans="1:15" s="166" customFormat="1" ht="12.75" customHeight="1" x14ac:dyDescent="0.2">
      <c r="A156" s="162"/>
      <c r="B156" s="163"/>
      <c r="C156" s="165"/>
      <c r="D156" s="164"/>
      <c r="E156" s="164"/>
      <c r="F156" s="201" t="s">
        <v>451</v>
      </c>
      <c r="G156" s="169" t="s">
        <v>363</v>
      </c>
      <c r="H156" s="151" t="s">
        <v>159</v>
      </c>
      <c r="I156" s="155">
        <f>99999620.15-45924.77</f>
        <v>99953695.38000001</v>
      </c>
      <c r="J156" s="165"/>
      <c r="K156" s="66">
        <f t="shared" si="44"/>
        <v>99953695.38000001</v>
      </c>
      <c r="L156" s="165"/>
      <c r="M156" s="165"/>
      <c r="N156" s="200"/>
      <c r="O156" s="165"/>
    </row>
    <row r="157" spans="1:15" s="166" customFormat="1" ht="12.75" customHeight="1" x14ac:dyDescent="0.2">
      <c r="A157" s="162"/>
      <c r="B157" s="163"/>
      <c r="C157" s="165"/>
      <c r="D157" s="164"/>
      <c r="E157" s="164"/>
      <c r="F157" s="201" t="s">
        <v>451</v>
      </c>
      <c r="G157" s="169" t="s">
        <v>364</v>
      </c>
      <c r="H157" s="151" t="s">
        <v>159</v>
      </c>
      <c r="I157" s="155">
        <v>11433160.220000001</v>
      </c>
      <c r="J157" s="165"/>
      <c r="K157" s="66">
        <f t="shared" si="44"/>
        <v>11433160.220000001</v>
      </c>
      <c r="L157" s="165"/>
      <c r="M157" s="165"/>
      <c r="N157" s="200"/>
      <c r="O157" s="165"/>
    </row>
    <row r="158" spans="1:15" s="166" customFormat="1" ht="12.75" customHeight="1" x14ac:dyDescent="0.2">
      <c r="A158" s="162"/>
      <c r="B158" s="163"/>
      <c r="C158" s="165"/>
      <c r="D158" s="164"/>
      <c r="E158" s="164"/>
      <c r="F158" s="201" t="s">
        <v>451</v>
      </c>
      <c r="G158" s="169" t="s">
        <v>365</v>
      </c>
      <c r="H158" s="151" t="s">
        <v>159</v>
      </c>
      <c r="I158" s="155">
        <v>47566636</v>
      </c>
      <c r="J158" s="165"/>
      <c r="K158" s="66">
        <f t="shared" si="44"/>
        <v>47566636</v>
      </c>
      <c r="L158" s="165"/>
      <c r="M158" s="165"/>
      <c r="N158" s="200"/>
      <c r="O158" s="165"/>
    </row>
    <row r="159" spans="1:15" s="166" customFormat="1" ht="12.75" customHeight="1" x14ac:dyDescent="0.2">
      <c r="A159" s="162"/>
      <c r="B159" s="163"/>
      <c r="C159" s="165"/>
      <c r="D159" s="164"/>
      <c r="E159" s="164"/>
      <c r="F159" s="201" t="s">
        <v>451</v>
      </c>
      <c r="G159" s="169" t="s">
        <v>366</v>
      </c>
      <c r="H159" s="151" t="s">
        <v>159</v>
      </c>
      <c r="I159" s="155">
        <v>12096225.9</v>
      </c>
      <c r="J159" s="165"/>
      <c r="K159" s="66">
        <f t="shared" si="44"/>
        <v>12096225.9</v>
      </c>
      <c r="L159" s="165"/>
      <c r="M159" s="165"/>
      <c r="N159" s="200"/>
      <c r="O159" s="165"/>
    </row>
    <row r="160" spans="1:15" s="166" customFormat="1" ht="12.75" customHeight="1" x14ac:dyDescent="0.2">
      <c r="A160" s="162"/>
      <c r="B160" s="163"/>
      <c r="C160" s="165"/>
      <c r="D160" s="164"/>
      <c r="E160" s="164"/>
      <c r="F160" s="201" t="s">
        <v>451</v>
      </c>
      <c r="G160" s="169" t="s">
        <v>367</v>
      </c>
      <c r="H160" s="151" t="s">
        <v>159</v>
      </c>
      <c r="I160" s="155">
        <v>36539736.93</v>
      </c>
      <c r="J160" s="165"/>
      <c r="K160" s="66">
        <f t="shared" si="44"/>
        <v>36539736.93</v>
      </c>
      <c r="L160" s="165"/>
      <c r="M160" s="165"/>
      <c r="N160" s="200"/>
      <c r="O160" s="165"/>
    </row>
    <row r="161" spans="1:15" s="166" customFormat="1" ht="12.75" customHeight="1" x14ac:dyDescent="0.2">
      <c r="A161" s="162"/>
      <c r="B161" s="163"/>
      <c r="C161" s="165"/>
      <c r="D161" s="164"/>
      <c r="E161" s="164"/>
      <c r="F161" s="201" t="s">
        <v>451</v>
      </c>
      <c r="G161" s="169" t="s">
        <v>368</v>
      </c>
      <c r="H161" s="151" t="s">
        <v>159</v>
      </c>
      <c r="I161" s="155">
        <v>68778671.700000003</v>
      </c>
      <c r="J161" s="165"/>
      <c r="K161" s="66">
        <f t="shared" si="44"/>
        <v>68778671.700000003</v>
      </c>
      <c r="L161" s="165"/>
      <c r="M161" s="165"/>
      <c r="N161" s="200"/>
      <c r="O161" s="165"/>
    </row>
    <row r="162" spans="1:15" s="166" customFormat="1" ht="12.75" customHeight="1" x14ac:dyDescent="0.2">
      <c r="A162" s="162"/>
      <c r="B162" s="163"/>
      <c r="C162" s="165"/>
      <c r="D162" s="164"/>
      <c r="E162" s="164"/>
      <c r="F162" s="201" t="s">
        <v>451</v>
      </c>
      <c r="G162" s="169" t="s">
        <v>369</v>
      </c>
      <c r="H162" s="151" t="s">
        <v>159</v>
      </c>
      <c r="I162" s="155">
        <v>41279472.299999997</v>
      </c>
      <c r="J162" s="165"/>
      <c r="K162" s="66">
        <f t="shared" si="44"/>
        <v>41279472.299999997</v>
      </c>
      <c r="L162" s="165"/>
      <c r="M162" s="165"/>
      <c r="N162" s="200"/>
      <c r="O162" s="165"/>
    </row>
    <row r="163" spans="1:15" s="166" customFormat="1" ht="12.75" customHeight="1" x14ac:dyDescent="0.2">
      <c r="A163" s="162"/>
      <c r="B163" s="163"/>
      <c r="C163" s="165"/>
      <c r="D163" s="164"/>
      <c r="E163" s="164"/>
      <c r="F163" s="201" t="s">
        <v>451</v>
      </c>
      <c r="G163" s="169" t="s">
        <v>370</v>
      </c>
      <c r="H163" s="151" t="s">
        <v>159</v>
      </c>
      <c r="I163" s="155">
        <v>44999890.579999998</v>
      </c>
      <c r="J163" s="165"/>
      <c r="K163" s="66">
        <f t="shared" si="44"/>
        <v>44999890.579999998</v>
      </c>
      <c r="L163" s="165"/>
      <c r="M163" s="165"/>
      <c r="N163" s="200"/>
      <c r="O163" s="165"/>
    </row>
    <row r="164" spans="1:15" s="166" customFormat="1" ht="12.75" customHeight="1" x14ac:dyDescent="0.2">
      <c r="A164" s="162"/>
      <c r="B164" s="163"/>
      <c r="C164" s="165"/>
      <c r="D164" s="164"/>
      <c r="E164" s="164"/>
      <c r="F164" s="201" t="s">
        <v>451</v>
      </c>
      <c r="G164" s="169" t="s">
        <v>371</v>
      </c>
      <c r="H164" s="151" t="s">
        <v>159</v>
      </c>
      <c r="I164" s="155">
        <v>3801643.37</v>
      </c>
      <c r="J164" s="165"/>
      <c r="K164" s="66">
        <f t="shared" si="44"/>
        <v>3801643.37</v>
      </c>
      <c r="L164" s="165"/>
      <c r="M164" s="165"/>
      <c r="N164" s="200"/>
      <c r="O164" s="165"/>
    </row>
    <row r="165" spans="1:15" s="166" customFormat="1" ht="12.75" customHeight="1" x14ac:dyDescent="0.2">
      <c r="A165" s="162"/>
      <c r="B165" s="163"/>
      <c r="C165" s="165"/>
      <c r="D165" s="164"/>
      <c r="E165" s="164"/>
      <c r="F165" s="201" t="s">
        <v>451</v>
      </c>
      <c r="G165" s="169" t="s">
        <v>372</v>
      </c>
      <c r="H165" s="151" t="s">
        <v>159</v>
      </c>
      <c r="I165" s="155">
        <f>27172936.66-60.47</f>
        <v>27172876.190000001</v>
      </c>
      <c r="J165" s="165"/>
      <c r="K165" s="66">
        <f t="shared" si="44"/>
        <v>27172876.190000001</v>
      </c>
      <c r="L165" s="165"/>
      <c r="M165" s="165"/>
      <c r="N165" s="200"/>
      <c r="O165" s="165"/>
    </row>
    <row r="166" spans="1:15" s="166" customFormat="1" ht="12.75" customHeight="1" x14ac:dyDescent="0.2">
      <c r="A166" s="162"/>
      <c r="B166" s="163"/>
      <c r="C166" s="165"/>
      <c r="D166" s="164"/>
      <c r="E166" s="164"/>
      <c r="F166" s="201" t="s">
        <v>451</v>
      </c>
      <c r="G166" s="169" t="s">
        <v>373</v>
      </c>
      <c r="H166" s="151" t="s">
        <v>159</v>
      </c>
      <c r="I166" s="155">
        <f>37694074.06-25262666.34</f>
        <v>12431407.720000003</v>
      </c>
      <c r="J166" s="165"/>
      <c r="K166" s="66">
        <f t="shared" si="44"/>
        <v>12431407.720000003</v>
      </c>
      <c r="L166" s="165"/>
      <c r="M166" s="165"/>
      <c r="N166" s="200"/>
      <c r="O166" s="165"/>
    </row>
    <row r="167" spans="1:15" s="166" customFormat="1" ht="12.75" customHeight="1" x14ac:dyDescent="0.2">
      <c r="A167" s="162"/>
      <c r="B167" s="163"/>
      <c r="C167" s="165"/>
      <c r="D167" s="164"/>
      <c r="E167" s="164"/>
      <c r="F167" s="201" t="s">
        <v>451</v>
      </c>
      <c r="G167" s="169" t="s">
        <v>377</v>
      </c>
      <c r="H167" s="151" t="s">
        <v>159</v>
      </c>
      <c r="I167" s="155">
        <v>25743778.5</v>
      </c>
      <c r="J167" s="165"/>
      <c r="K167" s="66">
        <f t="shared" si="44"/>
        <v>25743778.5</v>
      </c>
      <c r="L167" s="165"/>
      <c r="M167" s="165"/>
      <c r="N167" s="200"/>
      <c r="O167" s="165"/>
    </row>
    <row r="168" spans="1:15" s="166" customFormat="1" ht="12.75" customHeight="1" x14ac:dyDescent="0.2">
      <c r="A168" s="162"/>
      <c r="B168" s="163"/>
      <c r="C168" s="165"/>
      <c r="D168" s="164"/>
      <c r="E168" s="164"/>
      <c r="F168" s="201" t="s">
        <v>451</v>
      </c>
      <c r="G168" s="169" t="s">
        <v>378</v>
      </c>
      <c r="H168" s="151" t="s">
        <v>159</v>
      </c>
      <c r="I168" s="155">
        <v>5551286.4000000004</v>
      </c>
      <c r="J168" s="165"/>
      <c r="K168" s="66">
        <f t="shared" si="44"/>
        <v>5551286.4000000004</v>
      </c>
      <c r="L168" s="165"/>
      <c r="M168" s="165"/>
      <c r="N168" s="200"/>
      <c r="O168" s="165"/>
    </row>
    <row r="169" spans="1:15" s="166" customFormat="1" ht="12.75" customHeight="1" x14ac:dyDescent="0.2">
      <c r="A169" s="162"/>
      <c r="B169" s="163"/>
      <c r="C169" s="165"/>
      <c r="D169" s="164"/>
      <c r="E169" s="164"/>
      <c r="F169" s="202"/>
      <c r="G169" s="188"/>
      <c r="H169" s="157"/>
      <c r="I169" s="161">
        <f>SUM(I134:I168)</f>
        <v>1226293712.76</v>
      </c>
      <c r="J169" s="161">
        <f t="shared" ref="J169:L169" si="45">SUM(J134:J168)</f>
        <v>19546.62</v>
      </c>
      <c r="K169" s="161">
        <f t="shared" si="45"/>
        <v>1226274166.1399999</v>
      </c>
      <c r="L169" s="161">
        <f t="shared" si="45"/>
        <v>0</v>
      </c>
      <c r="M169" s="160"/>
      <c r="N169" s="161">
        <f>+E135-I169</f>
        <v>227359769.24000001</v>
      </c>
      <c r="O169" s="195" t="s">
        <v>430</v>
      </c>
    </row>
    <row r="170" spans="1:15" s="166" customFormat="1" ht="12.75" customHeight="1" x14ac:dyDescent="0.2">
      <c r="A170" s="162" t="s">
        <v>316</v>
      </c>
      <c r="B170" s="163" t="s">
        <v>317</v>
      </c>
      <c r="C170" s="165" t="s">
        <v>87</v>
      </c>
      <c r="D170" s="164">
        <v>37333353</v>
      </c>
      <c r="E170" s="164">
        <v>37333353</v>
      </c>
      <c r="F170" s="203"/>
      <c r="G170" s="150"/>
      <c r="H170" s="151"/>
      <c r="I170" s="155">
        <v>0</v>
      </c>
      <c r="J170" s="165"/>
      <c r="K170" s="165"/>
      <c r="L170" s="165"/>
      <c r="M170" s="165"/>
      <c r="N170" s="200"/>
      <c r="O170" s="165"/>
    </row>
    <row r="171" spans="1:15" s="166" customFormat="1" ht="12.75" customHeight="1" x14ac:dyDescent="0.2">
      <c r="A171" s="162"/>
      <c r="B171" s="163"/>
      <c r="C171" s="165"/>
      <c r="D171" s="164"/>
      <c r="E171" s="164"/>
      <c r="F171" s="202"/>
      <c r="G171" s="156"/>
      <c r="H171" s="157"/>
      <c r="I171" s="161">
        <f>SUM(I170)</f>
        <v>0</v>
      </c>
      <c r="J171" s="161">
        <f t="shared" ref="J171:L171" si="46">SUM(J170)</f>
        <v>0</v>
      </c>
      <c r="K171" s="161">
        <f t="shared" si="46"/>
        <v>0</v>
      </c>
      <c r="L171" s="161">
        <f t="shared" si="46"/>
        <v>0</v>
      </c>
      <c r="M171" s="160"/>
      <c r="N171" s="161">
        <f>+E170-I171</f>
        <v>37333353</v>
      </c>
      <c r="O171" s="195" t="s">
        <v>434</v>
      </c>
    </row>
    <row r="172" spans="1:15" s="166" customFormat="1" ht="12.75" customHeight="1" x14ac:dyDescent="0.2">
      <c r="A172" s="162" t="s">
        <v>318</v>
      </c>
      <c r="B172" s="163" t="s">
        <v>319</v>
      </c>
      <c r="C172" s="165" t="s">
        <v>324</v>
      </c>
      <c r="D172" s="164">
        <v>985339.84</v>
      </c>
      <c r="E172" s="164">
        <v>995340.07</v>
      </c>
      <c r="F172" s="203"/>
      <c r="G172" s="150"/>
      <c r="H172" s="151"/>
      <c r="I172" s="155">
        <v>0</v>
      </c>
      <c r="J172" s="165"/>
      <c r="K172" s="165"/>
      <c r="L172" s="165"/>
      <c r="M172" s="165"/>
      <c r="N172" s="200"/>
      <c r="O172" s="165"/>
    </row>
    <row r="173" spans="1:15" s="166" customFormat="1" ht="12.75" customHeight="1" x14ac:dyDescent="0.2">
      <c r="A173" s="162"/>
      <c r="B173" s="163"/>
      <c r="C173" s="165"/>
      <c r="D173" s="164"/>
      <c r="E173" s="164"/>
      <c r="F173" s="202"/>
      <c r="G173" s="156"/>
      <c r="H173" s="157"/>
      <c r="I173" s="161">
        <f>SUM(I172)</f>
        <v>0</v>
      </c>
      <c r="J173" s="161">
        <f t="shared" ref="J173:L173" si="47">SUM(J172)</f>
        <v>0</v>
      </c>
      <c r="K173" s="161">
        <f t="shared" si="47"/>
        <v>0</v>
      </c>
      <c r="L173" s="161">
        <f t="shared" si="47"/>
        <v>0</v>
      </c>
      <c r="M173" s="160"/>
      <c r="N173" s="161">
        <f>+E172-I173</f>
        <v>995340.07</v>
      </c>
      <c r="O173" s="195" t="s">
        <v>439</v>
      </c>
    </row>
    <row r="174" spans="1:15" s="166" customFormat="1" ht="12.75" customHeight="1" x14ac:dyDescent="0.2">
      <c r="A174" s="162" t="s">
        <v>320</v>
      </c>
      <c r="B174" s="163" t="s">
        <v>321</v>
      </c>
      <c r="C174" s="165"/>
      <c r="D174" s="164">
        <v>163124910.56999999</v>
      </c>
      <c r="E174" s="164">
        <v>164196679.62</v>
      </c>
      <c r="F174" s="201" t="s">
        <v>450</v>
      </c>
      <c r="G174" s="150" t="s">
        <v>399</v>
      </c>
      <c r="H174" s="151" t="s">
        <v>155</v>
      </c>
      <c r="I174" s="155">
        <v>116250</v>
      </c>
      <c r="J174" s="66">
        <f>+I174</f>
        <v>116250</v>
      </c>
      <c r="K174" s="165"/>
      <c r="L174" s="165"/>
      <c r="M174" s="165"/>
      <c r="N174" s="200"/>
      <c r="O174" s="165"/>
    </row>
    <row r="175" spans="1:15" s="166" customFormat="1" ht="12.75" customHeight="1" x14ac:dyDescent="0.2">
      <c r="A175" s="162"/>
      <c r="B175" s="163"/>
      <c r="C175" s="165"/>
      <c r="D175" s="164"/>
      <c r="E175" s="164"/>
      <c r="F175" s="201" t="s">
        <v>450</v>
      </c>
      <c r="G175" s="150" t="s">
        <v>399</v>
      </c>
      <c r="H175" s="151" t="s">
        <v>156</v>
      </c>
      <c r="I175" s="155">
        <v>76880.800000000003</v>
      </c>
      <c r="J175" s="66">
        <f t="shared" ref="J175:J179" si="48">+I175</f>
        <v>76880.800000000003</v>
      </c>
      <c r="K175" s="165"/>
      <c r="L175" s="165"/>
      <c r="M175" s="165"/>
      <c r="N175" s="200"/>
      <c r="O175" s="165"/>
    </row>
    <row r="176" spans="1:15" s="166" customFormat="1" ht="12.75" x14ac:dyDescent="0.2">
      <c r="A176" s="162"/>
      <c r="B176" s="163"/>
      <c r="C176" s="165"/>
      <c r="D176" s="164"/>
      <c r="E176" s="164"/>
      <c r="F176" s="201" t="s">
        <v>451</v>
      </c>
      <c r="G176" s="150" t="s">
        <v>343</v>
      </c>
      <c r="H176" s="151" t="s">
        <v>154</v>
      </c>
      <c r="I176" s="155">
        <v>4943502.24</v>
      </c>
      <c r="J176" s="66">
        <f t="shared" si="48"/>
        <v>4943502.24</v>
      </c>
      <c r="K176" s="165"/>
      <c r="L176" s="165"/>
      <c r="M176" s="165"/>
      <c r="N176" s="200"/>
      <c r="O176" s="165"/>
    </row>
    <row r="177" spans="1:15" s="166" customFormat="1" ht="12.75" customHeight="1" x14ac:dyDescent="0.2">
      <c r="A177" s="162"/>
      <c r="B177" s="163"/>
      <c r="C177" s="165"/>
      <c r="D177" s="164"/>
      <c r="E177" s="164"/>
      <c r="F177" s="201" t="s">
        <v>451</v>
      </c>
      <c r="G177" s="150" t="s">
        <v>343</v>
      </c>
      <c r="H177" s="151" t="s">
        <v>155</v>
      </c>
      <c r="I177" s="155">
        <v>1999980</v>
      </c>
      <c r="J177" s="66">
        <f t="shared" si="48"/>
        <v>1999980</v>
      </c>
      <c r="K177" s="165"/>
      <c r="L177" s="165"/>
      <c r="M177" s="165"/>
      <c r="N177" s="200"/>
      <c r="O177" s="165"/>
    </row>
    <row r="178" spans="1:15" s="166" customFormat="1" ht="12.75" x14ac:dyDescent="0.2">
      <c r="A178" s="162"/>
      <c r="B178" s="163"/>
      <c r="C178" s="165"/>
      <c r="D178" s="164"/>
      <c r="E178" s="164"/>
      <c r="F178" s="201" t="s">
        <v>451</v>
      </c>
      <c r="G178" s="150" t="s">
        <v>344</v>
      </c>
      <c r="H178" s="151" t="s">
        <v>154</v>
      </c>
      <c r="I178" s="155">
        <v>886005.88</v>
      </c>
      <c r="J178" s="66">
        <f t="shared" si="48"/>
        <v>886005.88</v>
      </c>
      <c r="K178" s="165"/>
      <c r="L178" s="165"/>
      <c r="M178" s="165"/>
      <c r="N178" s="200"/>
      <c r="O178" s="165"/>
    </row>
    <row r="179" spans="1:15" s="166" customFormat="1" ht="12.75" customHeight="1" x14ac:dyDescent="0.2">
      <c r="A179" s="162"/>
      <c r="B179" s="163"/>
      <c r="C179" s="165"/>
      <c r="D179" s="164"/>
      <c r="E179" s="164"/>
      <c r="F179" s="201" t="s">
        <v>451</v>
      </c>
      <c r="G179" s="150" t="s">
        <v>345</v>
      </c>
      <c r="H179" s="151" t="s">
        <v>156</v>
      </c>
      <c r="I179" s="155">
        <v>1235000</v>
      </c>
      <c r="J179" s="66">
        <f t="shared" si="48"/>
        <v>1235000</v>
      </c>
      <c r="K179" s="66"/>
      <c r="L179" s="165"/>
      <c r="M179" s="165"/>
      <c r="N179" s="200"/>
      <c r="O179" s="165"/>
    </row>
    <row r="180" spans="1:15" s="166" customFormat="1" ht="12.75" customHeight="1" x14ac:dyDescent="0.2">
      <c r="A180" s="162"/>
      <c r="B180" s="163"/>
      <c r="C180" s="165"/>
      <c r="D180" s="164"/>
      <c r="E180" s="164"/>
      <c r="F180" s="201" t="s">
        <v>451</v>
      </c>
      <c r="G180" s="150" t="s">
        <v>345</v>
      </c>
      <c r="H180" s="151" t="s">
        <v>159</v>
      </c>
      <c r="I180" s="155">
        <v>1260000</v>
      </c>
      <c r="J180" s="66"/>
      <c r="K180" s="66">
        <f t="shared" ref="K180:K181" si="49">+I180</f>
        <v>1260000</v>
      </c>
      <c r="L180" s="165"/>
      <c r="M180" s="165"/>
      <c r="N180" s="200"/>
      <c r="O180" s="165"/>
    </row>
    <row r="181" spans="1:15" s="166" customFormat="1" ht="12.75" customHeight="1" x14ac:dyDescent="0.2">
      <c r="A181" s="162"/>
      <c r="B181" s="163"/>
      <c r="C181" s="165"/>
      <c r="D181" s="164"/>
      <c r="E181" s="164"/>
      <c r="F181" s="201" t="s">
        <v>451</v>
      </c>
      <c r="G181" s="150" t="s">
        <v>346</v>
      </c>
      <c r="H181" s="151" t="s">
        <v>159</v>
      </c>
      <c r="I181" s="155">
        <f>29972000-14668250</f>
        <v>15303750</v>
      </c>
      <c r="J181" s="66"/>
      <c r="K181" s="66">
        <f t="shared" si="49"/>
        <v>15303750</v>
      </c>
      <c r="L181" s="165"/>
      <c r="M181" s="165"/>
      <c r="N181" s="200"/>
      <c r="O181" s="165"/>
    </row>
    <row r="182" spans="1:15" s="166" customFormat="1" ht="12.75" x14ac:dyDescent="0.2">
      <c r="A182" s="162"/>
      <c r="B182" s="163"/>
      <c r="C182" s="165"/>
      <c r="D182" s="164"/>
      <c r="E182" s="164"/>
      <c r="F182" s="201" t="s">
        <v>451</v>
      </c>
      <c r="G182" s="150" t="s">
        <v>342</v>
      </c>
      <c r="H182" s="151" t="s">
        <v>154</v>
      </c>
      <c r="I182" s="155">
        <f>3992139-609341.15</f>
        <v>3382797.85</v>
      </c>
      <c r="J182" s="66">
        <f t="shared" ref="J182:J183" si="50">+I182</f>
        <v>3382797.85</v>
      </c>
      <c r="K182" s="165"/>
      <c r="L182" s="165"/>
      <c r="M182" s="165"/>
      <c r="N182" s="200"/>
      <c r="O182" s="165"/>
    </row>
    <row r="183" spans="1:15" s="166" customFormat="1" ht="12.75" customHeight="1" x14ac:dyDescent="0.2">
      <c r="A183" s="162"/>
      <c r="B183" s="163"/>
      <c r="C183" s="165"/>
      <c r="D183" s="164"/>
      <c r="E183" s="164"/>
      <c r="F183" s="201" t="s">
        <v>451</v>
      </c>
      <c r="G183" s="150" t="s">
        <v>342</v>
      </c>
      <c r="H183" s="151" t="s">
        <v>155</v>
      </c>
      <c r="I183" s="155">
        <f>17512062.68-12620473.2</f>
        <v>4891589.4800000004</v>
      </c>
      <c r="J183" s="66">
        <f t="shared" si="50"/>
        <v>4891589.4800000004</v>
      </c>
      <c r="K183" s="165"/>
      <c r="L183" s="165"/>
      <c r="M183" s="165"/>
      <c r="N183" s="200"/>
      <c r="O183" s="165"/>
    </row>
    <row r="184" spans="1:15" s="166" customFormat="1" ht="12.75" customHeight="1" x14ac:dyDescent="0.2">
      <c r="A184" s="162"/>
      <c r="B184" s="204"/>
      <c r="C184" s="165"/>
      <c r="D184" s="164"/>
      <c r="E184" s="164"/>
      <c r="F184" s="202"/>
      <c r="G184" s="156"/>
      <c r="H184" s="157"/>
      <c r="I184" s="161">
        <f>SUM(I174:I183)</f>
        <v>34095756.25</v>
      </c>
      <c r="J184" s="161">
        <f>SUM(J174:J183)</f>
        <v>17532006.25</v>
      </c>
      <c r="K184" s="161">
        <f>SUM(K174:K183)</f>
        <v>16563750</v>
      </c>
      <c r="L184" s="161">
        <f>SUM(L174:L183)</f>
        <v>0</v>
      </c>
      <c r="M184" s="160"/>
      <c r="N184" s="161">
        <f>+E174-I184</f>
        <v>130100923.37</v>
      </c>
      <c r="O184" s="195" t="s">
        <v>439</v>
      </c>
    </row>
    <row r="185" spans="1:15" s="166" customFormat="1" ht="12.75" customHeight="1" x14ac:dyDescent="0.2">
      <c r="A185" s="162" t="s">
        <v>322</v>
      </c>
      <c r="B185" s="204" t="s">
        <v>453</v>
      </c>
      <c r="C185" s="165"/>
      <c r="D185" s="164"/>
      <c r="E185" s="164"/>
      <c r="F185" s="203"/>
      <c r="G185" s="150"/>
      <c r="H185" s="151"/>
      <c r="I185" s="200"/>
      <c r="J185" s="200"/>
      <c r="K185" s="200"/>
      <c r="L185" s="200"/>
      <c r="M185" s="165"/>
      <c r="N185" s="200"/>
      <c r="O185" s="195"/>
    </row>
    <row r="186" spans="1:15" s="166" customFormat="1" ht="15.75" customHeight="1" x14ac:dyDescent="0.2">
      <c r="A186" s="162" t="s">
        <v>322</v>
      </c>
      <c r="B186" s="163" t="s">
        <v>327</v>
      </c>
      <c r="C186" s="165"/>
      <c r="D186" s="164">
        <v>1738.75</v>
      </c>
      <c r="E186" s="164">
        <v>1738.75</v>
      </c>
      <c r="F186" s="201" t="s">
        <v>450</v>
      </c>
      <c r="G186" s="150" t="s">
        <v>397</v>
      </c>
      <c r="H186" s="151" t="s">
        <v>161</v>
      </c>
      <c r="I186" s="155">
        <v>1738.75</v>
      </c>
      <c r="J186" s="168"/>
      <c r="K186" s="155">
        <f>+I186</f>
        <v>1738.75</v>
      </c>
      <c r="L186" s="165"/>
      <c r="M186" s="165"/>
      <c r="N186" s="192">
        <f>+E186-I186</f>
        <v>0</v>
      </c>
      <c r="O186" s="192"/>
    </row>
    <row r="187" spans="1:15" s="166" customFormat="1" ht="15.75" customHeight="1" x14ac:dyDescent="0.2">
      <c r="A187" s="162" t="s">
        <v>322</v>
      </c>
      <c r="B187" s="163" t="s">
        <v>328</v>
      </c>
      <c r="C187" s="165"/>
      <c r="D187" s="164">
        <v>419006.92</v>
      </c>
      <c r="E187" s="164">
        <v>419006.92</v>
      </c>
      <c r="F187" s="201" t="s">
        <v>450</v>
      </c>
      <c r="G187" s="150" t="s">
        <v>397</v>
      </c>
      <c r="H187" s="151" t="s">
        <v>160</v>
      </c>
      <c r="I187" s="155">
        <f>+E187</f>
        <v>419006.92</v>
      </c>
      <c r="J187" s="154">
        <f t="shared" ref="J187:J194" si="51">+I187</f>
        <v>419006.92</v>
      </c>
      <c r="K187" s="165"/>
      <c r="L187" s="165"/>
      <c r="M187" s="165"/>
      <c r="N187" s="192">
        <f t="shared" ref="N187:N241" si="52">+E187-I187</f>
        <v>0</v>
      </c>
      <c r="O187" s="165"/>
    </row>
    <row r="188" spans="1:15" s="166" customFormat="1" ht="15.75" customHeight="1" x14ac:dyDescent="0.2">
      <c r="A188" s="162" t="s">
        <v>322</v>
      </c>
      <c r="B188" s="163" t="s">
        <v>329</v>
      </c>
      <c r="C188" s="165"/>
      <c r="D188" s="164">
        <v>463.44</v>
      </c>
      <c r="E188" s="164">
        <v>463.44</v>
      </c>
      <c r="F188" s="201" t="s">
        <v>450</v>
      </c>
      <c r="G188" s="150" t="s">
        <v>397</v>
      </c>
      <c r="H188" s="151" t="s">
        <v>160</v>
      </c>
      <c r="I188" s="155">
        <f t="shared" ref="I188:I194" si="53">+E188</f>
        <v>463.44</v>
      </c>
      <c r="J188" s="154">
        <f t="shared" si="51"/>
        <v>463.44</v>
      </c>
      <c r="K188" s="165"/>
      <c r="L188" s="165"/>
      <c r="M188" s="165"/>
      <c r="N188" s="192">
        <f t="shared" si="52"/>
        <v>0</v>
      </c>
      <c r="O188" s="165"/>
    </row>
    <row r="189" spans="1:15" s="166" customFormat="1" ht="15.75" customHeight="1" x14ac:dyDescent="0.2">
      <c r="A189" s="162" t="s">
        <v>322</v>
      </c>
      <c r="B189" s="163" t="s">
        <v>330</v>
      </c>
      <c r="C189" s="165"/>
      <c r="D189" s="164">
        <v>36817986.880000003</v>
      </c>
      <c r="E189" s="164">
        <v>36817986.880000003</v>
      </c>
      <c r="F189" s="201" t="s">
        <v>450</v>
      </c>
      <c r="G189" s="150" t="s">
        <v>397</v>
      </c>
      <c r="H189" s="151" t="s">
        <v>160</v>
      </c>
      <c r="I189" s="155">
        <v>36817986.869999997</v>
      </c>
      <c r="J189" s="154">
        <f t="shared" si="51"/>
        <v>36817986.869999997</v>
      </c>
      <c r="K189" s="165"/>
      <c r="L189" s="165"/>
      <c r="M189" s="165"/>
      <c r="N189" s="192">
        <f t="shared" si="52"/>
        <v>1.000000536441803E-2</v>
      </c>
      <c r="O189" s="165"/>
    </row>
    <row r="190" spans="1:15" s="166" customFormat="1" ht="15.75" customHeight="1" x14ac:dyDescent="0.2">
      <c r="A190" s="162" t="s">
        <v>322</v>
      </c>
      <c r="B190" s="163" t="s">
        <v>331</v>
      </c>
      <c r="C190" s="165"/>
      <c r="D190" s="164">
        <v>139665.26999999999</v>
      </c>
      <c r="E190" s="164">
        <v>139665.26999999999</v>
      </c>
      <c r="F190" s="201" t="s">
        <v>450</v>
      </c>
      <c r="G190" s="150" t="s">
        <v>397</v>
      </c>
      <c r="H190" s="151" t="s">
        <v>160</v>
      </c>
      <c r="I190" s="155">
        <f t="shared" si="53"/>
        <v>139665.26999999999</v>
      </c>
      <c r="J190" s="154">
        <f t="shared" si="51"/>
        <v>139665.26999999999</v>
      </c>
      <c r="K190" s="165"/>
      <c r="L190" s="165"/>
      <c r="M190" s="165"/>
      <c r="N190" s="192">
        <f t="shared" si="52"/>
        <v>0</v>
      </c>
      <c r="O190" s="165"/>
    </row>
    <row r="191" spans="1:15" s="166" customFormat="1" ht="15.75" customHeight="1" x14ac:dyDescent="0.2">
      <c r="A191" s="162" t="s">
        <v>322</v>
      </c>
      <c r="B191" s="163" t="s">
        <v>207</v>
      </c>
      <c r="C191" s="165"/>
      <c r="D191" s="164">
        <v>428333</v>
      </c>
      <c r="E191" s="164">
        <v>428333</v>
      </c>
      <c r="F191" s="201" t="s">
        <v>450</v>
      </c>
      <c r="G191" s="150" t="s">
        <v>397</v>
      </c>
      <c r="H191" s="151" t="s">
        <v>160</v>
      </c>
      <c r="I191" s="155">
        <f t="shared" si="53"/>
        <v>428333</v>
      </c>
      <c r="J191" s="154">
        <f t="shared" si="51"/>
        <v>428333</v>
      </c>
      <c r="K191" s="165"/>
      <c r="L191" s="165"/>
      <c r="M191" s="165"/>
      <c r="N191" s="192">
        <f t="shared" si="52"/>
        <v>0</v>
      </c>
      <c r="O191" s="165"/>
    </row>
    <row r="192" spans="1:15" s="166" customFormat="1" ht="15.75" customHeight="1" x14ac:dyDescent="0.2">
      <c r="A192" s="162" t="s">
        <v>322</v>
      </c>
      <c r="B192" s="163" t="s">
        <v>332</v>
      </c>
      <c r="C192" s="165"/>
      <c r="D192" s="164">
        <v>3163761.03</v>
      </c>
      <c r="E192" s="164">
        <v>3163761.03</v>
      </c>
      <c r="F192" s="201" t="s">
        <v>450</v>
      </c>
      <c r="G192" s="150" t="s">
        <v>397</v>
      </c>
      <c r="H192" s="151" t="s">
        <v>160</v>
      </c>
      <c r="I192" s="155">
        <f t="shared" si="53"/>
        <v>3163761.03</v>
      </c>
      <c r="J192" s="154">
        <f t="shared" si="51"/>
        <v>3163761.03</v>
      </c>
      <c r="K192" s="165"/>
      <c r="L192" s="165"/>
      <c r="M192" s="165"/>
      <c r="N192" s="192">
        <f t="shared" si="52"/>
        <v>0</v>
      </c>
      <c r="O192" s="165"/>
    </row>
    <row r="193" spans="1:15" s="166" customFormat="1" ht="15.75" customHeight="1" x14ac:dyDescent="0.2">
      <c r="A193" s="162" t="s">
        <v>322</v>
      </c>
      <c r="B193" s="163" t="s">
        <v>209</v>
      </c>
      <c r="C193" s="165"/>
      <c r="D193" s="164">
        <v>396538.98</v>
      </c>
      <c r="E193" s="164">
        <v>396538.98</v>
      </c>
      <c r="F193" s="201" t="s">
        <v>450</v>
      </c>
      <c r="G193" s="150" t="s">
        <v>397</v>
      </c>
      <c r="H193" s="151" t="s">
        <v>160</v>
      </c>
      <c r="I193" s="155">
        <f t="shared" si="53"/>
        <v>396538.98</v>
      </c>
      <c r="J193" s="154">
        <f t="shared" si="51"/>
        <v>396538.98</v>
      </c>
      <c r="K193" s="165"/>
      <c r="L193" s="165"/>
      <c r="M193" s="165"/>
      <c r="N193" s="192">
        <f t="shared" si="52"/>
        <v>0</v>
      </c>
      <c r="O193" s="165"/>
    </row>
    <row r="194" spans="1:15" s="166" customFormat="1" ht="15.75" customHeight="1" x14ac:dyDescent="0.2">
      <c r="A194" s="162" t="s">
        <v>322</v>
      </c>
      <c r="B194" s="163" t="s">
        <v>333</v>
      </c>
      <c r="C194" s="165"/>
      <c r="D194" s="164">
        <v>20</v>
      </c>
      <c r="E194" s="164">
        <v>20</v>
      </c>
      <c r="F194" s="201" t="s">
        <v>450</v>
      </c>
      <c r="G194" s="150" t="s">
        <v>397</v>
      </c>
      <c r="H194" s="151" t="s">
        <v>160</v>
      </c>
      <c r="I194" s="155">
        <f t="shared" si="53"/>
        <v>20</v>
      </c>
      <c r="J194" s="154">
        <f t="shared" si="51"/>
        <v>20</v>
      </c>
      <c r="K194" s="165"/>
      <c r="L194" s="165"/>
      <c r="M194" s="165"/>
      <c r="N194" s="192">
        <f t="shared" si="52"/>
        <v>0</v>
      </c>
      <c r="O194" s="165"/>
    </row>
    <row r="195" spans="1:15" s="166" customFormat="1" ht="15.75" customHeight="1" x14ac:dyDescent="0.2">
      <c r="A195" s="162" t="s">
        <v>322</v>
      </c>
      <c r="B195" s="163" t="s">
        <v>210</v>
      </c>
      <c r="C195" s="165"/>
      <c r="D195" s="164">
        <f>146943521.68+26379866.48</f>
        <v>173323388.16</v>
      </c>
      <c r="E195" s="164">
        <v>174195155.41</v>
      </c>
      <c r="F195" s="201" t="s">
        <v>451</v>
      </c>
      <c r="G195" s="150" t="s">
        <v>348</v>
      </c>
      <c r="H195" s="151" t="s">
        <v>155</v>
      </c>
      <c r="I195" s="155">
        <v>1479140.26</v>
      </c>
      <c r="J195" s="165"/>
      <c r="K195" s="66">
        <f>+I195</f>
        <v>1479140.26</v>
      </c>
      <c r="L195" s="165"/>
      <c r="M195" s="165"/>
      <c r="N195" s="192">
        <f>+E195-I195-I196-I197-I198-I199-I200</f>
        <v>73105398.409999996</v>
      </c>
      <c r="O195" s="195" t="s">
        <v>430</v>
      </c>
    </row>
    <row r="196" spans="1:15" s="166" customFormat="1" ht="15.75" customHeight="1" x14ac:dyDescent="0.2">
      <c r="A196" s="165"/>
      <c r="B196" s="163"/>
      <c r="C196" s="165"/>
      <c r="D196" s="164"/>
      <c r="E196" s="164"/>
      <c r="F196" s="201" t="s">
        <v>451</v>
      </c>
      <c r="G196" s="150" t="s">
        <v>348</v>
      </c>
      <c r="H196" s="151" t="s">
        <v>156</v>
      </c>
      <c r="I196" s="155">
        <v>46451861.740000002</v>
      </c>
      <c r="J196" s="165"/>
      <c r="K196" s="66">
        <f>+I196</f>
        <v>46451861.740000002</v>
      </c>
      <c r="L196" s="165"/>
      <c r="M196" s="165"/>
      <c r="N196" s="192"/>
      <c r="O196" s="165"/>
    </row>
    <row r="197" spans="1:15" s="166" customFormat="1" ht="15.75" customHeight="1" x14ac:dyDescent="0.2">
      <c r="A197" s="165"/>
      <c r="B197" s="163"/>
      <c r="C197" s="165"/>
      <c r="D197" s="164"/>
      <c r="E197" s="164"/>
      <c r="F197" s="201" t="s">
        <v>451</v>
      </c>
      <c r="G197" s="150" t="s">
        <v>348</v>
      </c>
      <c r="H197" s="151" t="s">
        <v>159</v>
      </c>
      <c r="I197" s="155">
        <f>19000000-19000000</f>
        <v>0</v>
      </c>
      <c r="J197" s="165"/>
      <c r="K197" s="66">
        <f t="shared" ref="K197:K200" si="54">+I197</f>
        <v>0</v>
      </c>
      <c r="L197" s="165"/>
      <c r="M197" s="165"/>
      <c r="N197" s="192"/>
      <c r="O197" s="165"/>
    </row>
    <row r="198" spans="1:15" s="166" customFormat="1" ht="15.75" customHeight="1" x14ac:dyDescent="0.2">
      <c r="A198" s="165"/>
      <c r="B198" s="163"/>
      <c r="C198" s="165"/>
      <c r="D198" s="164"/>
      <c r="E198" s="164"/>
      <c r="F198" s="201" t="s">
        <v>451</v>
      </c>
      <c r="G198" s="170" t="s">
        <v>374</v>
      </c>
      <c r="H198" s="151" t="s">
        <v>159</v>
      </c>
      <c r="I198" s="155">
        <v>32447140</v>
      </c>
      <c r="J198" s="165"/>
      <c r="K198" s="66">
        <f t="shared" si="54"/>
        <v>32447140</v>
      </c>
      <c r="L198" s="165"/>
      <c r="M198" s="165"/>
      <c r="N198" s="192"/>
      <c r="O198" s="165"/>
    </row>
    <row r="199" spans="1:15" s="166" customFormat="1" ht="15.75" customHeight="1" x14ac:dyDescent="0.2">
      <c r="A199" s="165"/>
      <c r="B199" s="163"/>
      <c r="C199" s="165"/>
      <c r="D199" s="164"/>
      <c r="E199" s="164"/>
      <c r="F199" s="201" t="s">
        <v>451</v>
      </c>
      <c r="G199" s="170" t="s">
        <v>375</v>
      </c>
      <c r="H199" s="151" t="s">
        <v>159</v>
      </c>
      <c r="I199" s="155">
        <v>10721700</v>
      </c>
      <c r="J199" s="165"/>
      <c r="K199" s="66">
        <f t="shared" si="54"/>
        <v>10721700</v>
      </c>
      <c r="L199" s="165"/>
      <c r="M199" s="165"/>
      <c r="N199" s="192"/>
      <c r="O199" s="165"/>
    </row>
    <row r="200" spans="1:15" s="166" customFormat="1" ht="15.75" customHeight="1" x14ac:dyDescent="0.2">
      <c r="A200" s="165"/>
      <c r="B200" s="163"/>
      <c r="C200" s="165"/>
      <c r="D200" s="164"/>
      <c r="E200" s="164"/>
      <c r="F200" s="201" t="s">
        <v>451</v>
      </c>
      <c r="G200" s="170" t="s">
        <v>376</v>
      </c>
      <c r="H200" s="151" t="s">
        <v>159</v>
      </c>
      <c r="I200" s="155">
        <v>9989915</v>
      </c>
      <c r="J200" s="165"/>
      <c r="K200" s="66">
        <f t="shared" si="54"/>
        <v>9989915</v>
      </c>
      <c r="L200" s="165"/>
      <c r="M200" s="165"/>
      <c r="N200" s="192"/>
      <c r="O200" s="165"/>
    </row>
    <row r="201" spans="1:15" s="166" customFormat="1" ht="25.5" x14ac:dyDescent="0.2">
      <c r="A201" s="162" t="s">
        <v>322</v>
      </c>
      <c r="B201" s="163" t="s">
        <v>211</v>
      </c>
      <c r="C201" s="165"/>
      <c r="D201" s="164">
        <v>14810216.27</v>
      </c>
      <c r="E201" s="164">
        <v>14810216.27</v>
      </c>
      <c r="F201" s="203"/>
      <c r="G201" s="150"/>
      <c r="H201" s="151"/>
      <c r="I201" s="155">
        <v>0</v>
      </c>
      <c r="J201" s="165"/>
      <c r="K201" s="165"/>
      <c r="L201" s="165"/>
      <c r="M201" s="165"/>
      <c r="N201" s="192">
        <f t="shared" si="52"/>
        <v>14810216.27</v>
      </c>
      <c r="O201" s="210" t="s">
        <v>431</v>
      </c>
    </row>
    <row r="202" spans="1:15" s="166" customFormat="1" ht="15.75" customHeight="1" x14ac:dyDescent="0.2">
      <c r="A202" s="162" t="s">
        <v>322</v>
      </c>
      <c r="B202" s="163" t="s">
        <v>212</v>
      </c>
      <c r="C202" s="165"/>
      <c r="D202" s="164">
        <f>20117403.35+590078</f>
        <v>20707481.350000001</v>
      </c>
      <c r="E202" s="164">
        <v>20849081.350000001</v>
      </c>
      <c r="F202" s="201" t="s">
        <v>449</v>
      </c>
      <c r="G202" s="150" t="s">
        <v>326</v>
      </c>
      <c r="H202" s="151" t="s">
        <v>155</v>
      </c>
      <c r="I202" s="155">
        <f>2050200-200000</f>
        <v>1850200</v>
      </c>
      <c r="J202" s="192">
        <f>+I202</f>
        <v>1850200</v>
      </c>
      <c r="K202" s="165"/>
      <c r="L202" s="165"/>
      <c r="M202" s="165"/>
      <c r="N202" s="192">
        <f>+E202-J202-J203-J204-K205</f>
        <v>9515969.3200000022</v>
      </c>
      <c r="O202" s="195" t="s">
        <v>425</v>
      </c>
    </row>
    <row r="203" spans="1:15" s="166" customFormat="1" ht="15.75" customHeight="1" x14ac:dyDescent="0.2">
      <c r="A203" s="165"/>
      <c r="B203" s="163"/>
      <c r="C203" s="165"/>
      <c r="D203" s="164"/>
      <c r="E203" s="164"/>
      <c r="F203" s="201" t="s">
        <v>449</v>
      </c>
      <c r="G203" s="150" t="s">
        <v>326</v>
      </c>
      <c r="H203" s="151" t="s">
        <v>156</v>
      </c>
      <c r="I203" s="155">
        <f>3761406.35-37390</f>
        <v>3724016.35</v>
      </c>
      <c r="J203" s="192">
        <f>+I203</f>
        <v>3724016.35</v>
      </c>
      <c r="K203" s="165"/>
      <c r="L203" s="165"/>
      <c r="M203" s="165"/>
      <c r="N203" s="192"/>
      <c r="O203" s="165"/>
    </row>
    <row r="204" spans="1:15" s="166" customFormat="1" ht="15.75" customHeight="1" x14ac:dyDescent="0.2">
      <c r="A204" s="165"/>
      <c r="B204" s="163"/>
      <c r="C204" s="165"/>
      <c r="D204" s="164"/>
      <c r="E204" s="164"/>
      <c r="F204" s="201" t="s">
        <v>449</v>
      </c>
      <c r="G204" s="150" t="s">
        <v>326</v>
      </c>
      <c r="H204" s="151" t="s">
        <v>160</v>
      </c>
      <c r="I204" s="155">
        <v>2433895.6800000002</v>
      </c>
      <c r="J204" s="154">
        <f>+I204</f>
        <v>2433895.6800000002</v>
      </c>
      <c r="K204" s="165"/>
      <c r="L204" s="165"/>
      <c r="M204" s="165"/>
      <c r="N204" s="192"/>
      <c r="O204" s="165"/>
    </row>
    <row r="205" spans="1:15" s="166" customFormat="1" ht="15.75" customHeight="1" x14ac:dyDescent="0.2">
      <c r="A205" s="165"/>
      <c r="B205" s="163"/>
      <c r="C205" s="165"/>
      <c r="D205" s="164"/>
      <c r="E205" s="164"/>
      <c r="F205" s="201" t="s">
        <v>451</v>
      </c>
      <c r="G205" s="150" t="s">
        <v>403</v>
      </c>
      <c r="H205" s="151" t="s">
        <v>159</v>
      </c>
      <c r="I205" s="155">
        <v>3325000</v>
      </c>
      <c r="J205" s="165"/>
      <c r="K205" s="66">
        <f>+I205</f>
        <v>3325000</v>
      </c>
      <c r="L205" s="165"/>
      <c r="M205" s="165"/>
      <c r="N205" s="192"/>
      <c r="O205" s="165"/>
    </row>
    <row r="206" spans="1:15" s="166" customFormat="1" ht="15.75" customHeight="1" x14ac:dyDescent="0.2">
      <c r="A206" s="162" t="s">
        <v>322</v>
      </c>
      <c r="B206" s="163" t="s">
        <v>213</v>
      </c>
      <c r="C206" s="165"/>
      <c r="D206" s="164">
        <f>59189229.36+676951</f>
        <v>59866180.359999999</v>
      </c>
      <c r="E206" s="164">
        <v>70525578.689999998</v>
      </c>
      <c r="F206" s="201" t="s">
        <v>449</v>
      </c>
      <c r="G206" s="150" t="s">
        <v>339</v>
      </c>
      <c r="H206" s="151" t="s">
        <v>156</v>
      </c>
      <c r="I206" s="155">
        <v>427000</v>
      </c>
      <c r="J206" s="192">
        <f>+I206</f>
        <v>427000</v>
      </c>
      <c r="K206" s="165"/>
      <c r="L206" s="165"/>
      <c r="M206" s="165"/>
      <c r="N206" s="192">
        <f>+E206-I206-I207-I208</f>
        <v>5437294.1700000018</v>
      </c>
      <c r="O206" s="210" t="s">
        <v>426</v>
      </c>
    </row>
    <row r="207" spans="1:15" s="166" customFormat="1" ht="15.75" customHeight="1" x14ac:dyDescent="0.2">
      <c r="A207" s="165"/>
      <c r="B207" s="163"/>
      <c r="C207" s="165"/>
      <c r="D207" s="164"/>
      <c r="E207" s="164"/>
      <c r="F207" s="201" t="s">
        <v>449</v>
      </c>
      <c r="G207" s="150" t="s">
        <v>340</v>
      </c>
      <c r="H207" s="151" t="s">
        <v>155</v>
      </c>
      <c r="I207" s="155">
        <f>50000000+11261284.52</f>
        <v>61261284.519999996</v>
      </c>
      <c r="J207" s="192">
        <f>+I207</f>
        <v>61261284.519999996</v>
      </c>
      <c r="K207" s="165"/>
      <c r="L207" s="165"/>
      <c r="M207" s="165"/>
      <c r="N207" s="192"/>
      <c r="O207" s="165"/>
    </row>
    <row r="208" spans="1:15" s="166" customFormat="1" ht="15.75" customHeight="1" x14ac:dyDescent="0.2">
      <c r="A208" s="165"/>
      <c r="B208" s="163"/>
      <c r="C208" s="165"/>
      <c r="D208" s="164"/>
      <c r="E208" s="164"/>
      <c r="F208" s="201" t="s">
        <v>451</v>
      </c>
      <c r="G208" s="150" t="s">
        <v>403</v>
      </c>
      <c r="H208" s="151" t="s">
        <v>159</v>
      </c>
      <c r="I208" s="155">
        <v>3400000</v>
      </c>
      <c r="J208" s="165"/>
      <c r="K208" s="66">
        <f>+I208</f>
        <v>3400000</v>
      </c>
      <c r="L208" s="165"/>
      <c r="M208" s="165"/>
      <c r="N208" s="192"/>
      <c r="O208" s="165"/>
    </row>
    <row r="209" spans="1:15" s="166" customFormat="1" ht="15.75" customHeight="1" x14ac:dyDescent="0.2">
      <c r="A209" s="162" t="s">
        <v>322</v>
      </c>
      <c r="B209" s="163" t="s">
        <v>214</v>
      </c>
      <c r="C209" s="165"/>
      <c r="D209" s="164">
        <f>12277568.93+10985</f>
        <v>12288553.93</v>
      </c>
      <c r="E209" s="164">
        <v>15387200.32</v>
      </c>
      <c r="F209" s="201" t="s">
        <v>449</v>
      </c>
      <c r="G209" s="150" t="s">
        <v>400</v>
      </c>
      <c r="H209" s="151" t="s">
        <v>160</v>
      </c>
      <c r="I209" s="155">
        <v>6733302</v>
      </c>
      <c r="J209" s="154">
        <f t="shared" ref="J209:J210" si="55">+I209</f>
        <v>6733302</v>
      </c>
      <c r="K209" s="165"/>
      <c r="L209" s="165"/>
      <c r="M209" s="165"/>
      <c r="N209" s="192">
        <f t="shared" si="52"/>
        <v>8653898.3200000003</v>
      </c>
      <c r="O209" s="195" t="s">
        <v>427</v>
      </c>
    </row>
    <row r="210" spans="1:15" s="166" customFormat="1" ht="15.75" customHeight="1" x14ac:dyDescent="0.2">
      <c r="A210" s="162" t="s">
        <v>322</v>
      </c>
      <c r="B210" s="163" t="s">
        <v>215</v>
      </c>
      <c r="C210" s="165"/>
      <c r="D210" s="164">
        <f>12603523.07+123288</f>
        <v>12726811.07</v>
      </c>
      <c r="E210" s="164">
        <v>12726811.07</v>
      </c>
      <c r="F210" s="201" t="s">
        <v>449</v>
      </c>
      <c r="G210" s="150" t="s">
        <v>402</v>
      </c>
      <c r="H210" s="151" t="s">
        <v>160</v>
      </c>
      <c r="I210" s="155">
        <v>1611509.85</v>
      </c>
      <c r="J210" s="154">
        <f t="shared" si="55"/>
        <v>1611509.85</v>
      </c>
      <c r="K210" s="165"/>
      <c r="L210" s="165"/>
      <c r="M210" s="165"/>
      <c r="N210" s="192">
        <f>+E210-I210-I211</f>
        <v>2340301.2200000007</v>
      </c>
      <c r="O210" s="195" t="s">
        <v>428</v>
      </c>
    </row>
    <row r="211" spans="1:15" s="166" customFormat="1" ht="15.75" customHeight="1" x14ac:dyDescent="0.2">
      <c r="A211" s="165"/>
      <c r="B211" s="163"/>
      <c r="C211" s="165"/>
      <c r="D211" s="164"/>
      <c r="E211" s="164"/>
      <c r="F211" s="201" t="s">
        <v>451</v>
      </c>
      <c r="G211" s="150" t="s">
        <v>403</v>
      </c>
      <c r="H211" s="151" t="s">
        <v>159</v>
      </c>
      <c r="I211" s="155">
        <v>8775000</v>
      </c>
      <c r="J211" s="165"/>
      <c r="K211" s="66">
        <f>+I211</f>
        <v>8775000</v>
      </c>
      <c r="L211" s="165"/>
      <c r="M211" s="165"/>
      <c r="N211" s="192"/>
      <c r="O211" s="165"/>
    </row>
    <row r="212" spans="1:15" s="166" customFormat="1" ht="15.75" customHeight="1" x14ac:dyDescent="0.2">
      <c r="A212" s="162" t="s">
        <v>322</v>
      </c>
      <c r="B212" s="163" t="s">
        <v>216</v>
      </c>
      <c r="C212" s="165"/>
      <c r="D212" s="164">
        <v>7102459.6799999997</v>
      </c>
      <c r="E212" s="164">
        <v>7102459.6799999997</v>
      </c>
      <c r="F212" s="203"/>
      <c r="G212" s="150"/>
      <c r="H212" s="151"/>
      <c r="I212" s="155">
        <v>0</v>
      </c>
      <c r="J212" s="165"/>
      <c r="K212" s="165"/>
      <c r="L212" s="165"/>
      <c r="M212" s="165"/>
      <c r="N212" s="192">
        <f t="shared" si="52"/>
        <v>7102459.6799999997</v>
      </c>
      <c r="O212" s="195" t="s">
        <v>429</v>
      </c>
    </row>
    <row r="213" spans="1:15" s="166" customFormat="1" ht="15.75" customHeight="1" x14ac:dyDescent="0.2">
      <c r="A213" s="162" t="s">
        <v>322</v>
      </c>
      <c r="B213" s="163" t="s">
        <v>217</v>
      </c>
      <c r="C213" s="165"/>
      <c r="D213" s="164">
        <f>2880634.96+62092345.39+1746800</f>
        <v>66719780.350000001</v>
      </c>
      <c r="E213" s="164">
        <v>103833877</v>
      </c>
      <c r="F213" s="203" t="s">
        <v>452</v>
      </c>
      <c r="G213" s="170" t="s">
        <v>379</v>
      </c>
      <c r="H213" s="151" t="s">
        <v>156</v>
      </c>
      <c r="I213" s="155">
        <f>2880198-2020271.37</f>
        <v>859926.62999999989</v>
      </c>
      <c r="J213" s="165"/>
      <c r="K213" s="155">
        <f>+I213</f>
        <v>859926.62999999989</v>
      </c>
      <c r="L213" s="165"/>
      <c r="M213" s="165"/>
      <c r="N213" s="192">
        <f>+E213-I213-I214-I215-I216-I217-I218-I219-I220-I221-I222-I223-I224-I225-I226-I227-I228-I229-I230-I231-I232-I233-I234-I235-I236-I237-I238-I239</f>
        <v>80528023.49000001</v>
      </c>
      <c r="O213" s="210" t="s">
        <v>432</v>
      </c>
    </row>
    <row r="214" spans="1:15" s="166" customFormat="1" ht="15.75" customHeight="1" x14ac:dyDescent="0.2">
      <c r="A214" s="165"/>
      <c r="B214" s="163"/>
      <c r="C214" s="165"/>
      <c r="D214" s="164"/>
      <c r="E214" s="164"/>
      <c r="F214" s="203" t="s">
        <v>452</v>
      </c>
      <c r="G214" s="169" t="s">
        <v>380</v>
      </c>
      <c r="H214" s="151" t="s">
        <v>156</v>
      </c>
      <c r="I214" s="155">
        <v>5521386.9400000004</v>
      </c>
      <c r="J214" s="165"/>
      <c r="K214" s="155">
        <f t="shared" ref="K214:K240" si="56">+I214</f>
        <v>5521386.9400000004</v>
      </c>
      <c r="L214" s="165"/>
      <c r="M214" s="165"/>
      <c r="N214" s="192"/>
      <c r="O214" s="165"/>
    </row>
    <row r="215" spans="1:15" s="166" customFormat="1" ht="15.75" customHeight="1" x14ac:dyDescent="0.2">
      <c r="A215" s="165"/>
      <c r="B215" s="163"/>
      <c r="C215" s="165"/>
      <c r="D215" s="164"/>
      <c r="E215" s="164"/>
      <c r="F215" s="203" t="s">
        <v>452</v>
      </c>
      <c r="G215" s="169" t="s">
        <v>381</v>
      </c>
      <c r="H215" s="151" t="s">
        <v>156</v>
      </c>
      <c r="I215" s="155">
        <v>1952805</v>
      </c>
      <c r="J215" s="165"/>
      <c r="K215" s="155">
        <f t="shared" si="56"/>
        <v>1952805</v>
      </c>
      <c r="L215" s="165"/>
      <c r="M215" s="165"/>
      <c r="N215" s="192"/>
      <c r="O215" s="165"/>
    </row>
    <row r="216" spans="1:15" s="166" customFormat="1" ht="15.75" customHeight="1" x14ac:dyDescent="0.2">
      <c r="A216" s="165"/>
      <c r="B216" s="163"/>
      <c r="C216" s="165"/>
      <c r="D216" s="164"/>
      <c r="E216" s="164"/>
      <c r="F216" s="203" t="s">
        <v>452</v>
      </c>
      <c r="G216" s="169" t="s">
        <v>382</v>
      </c>
      <c r="H216" s="151" t="s">
        <v>156</v>
      </c>
      <c r="I216" s="155">
        <v>1708222.24</v>
      </c>
      <c r="J216" s="165"/>
      <c r="K216" s="155">
        <f t="shared" si="56"/>
        <v>1708222.24</v>
      </c>
      <c r="L216" s="165"/>
      <c r="M216" s="165"/>
      <c r="N216" s="192"/>
      <c r="O216" s="165"/>
    </row>
    <row r="217" spans="1:15" s="166" customFormat="1" ht="15.75" customHeight="1" x14ac:dyDescent="0.2">
      <c r="A217" s="165"/>
      <c r="B217" s="163"/>
      <c r="C217" s="165"/>
      <c r="D217" s="164"/>
      <c r="E217" s="164"/>
      <c r="F217" s="203" t="s">
        <v>452</v>
      </c>
      <c r="G217" s="169" t="s">
        <v>383</v>
      </c>
      <c r="H217" s="151" t="s">
        <v>156</v>
      </c>
      <c r="I217" s="155">
        <v>1457810.28</v>
      </c>
      <c r="J217" s="165"/>
      <c r="K217" s="155">
        <f t="shared" si="56"/>
        <v>1457810.28</v>
      </c>
      <c r="L217" s="165"/>
      <c r="M217" s="165"/>
      <c r="N217" s="192"/>
      <c r="O217" s="165"/>
    </row>
    <row r="218" spans="1:15" s="166" customFormat="1" ht="15.75" customHeight="1" x14ac:dyDescent="0.2">
      <c r="A218" s="165"/>
      <c r="B218" s="163"/>
      <c r="C218" s="165"/>
      <c r="D218" s="164"/>
      <c r="E218" s="164"/>
      <c r="F218" s="203" t="s">
        <v>452</v>
      </c>
      <c r="G218" s="169" t="s">
        <v>384</v>
      </c>
      <c r="H218" s="151" t="s">
        <v>156</v>
      </c>
      <c r="I218" s="155">
        <v>1387680.95</v>
      </c>
      <c r="J218" s="165"/>
      <c r="K218" s="155">
        <f t="shared" si="56"/>
        <v>1387680.95</v>
      </c>
      <c r="L218" s="165"/>
      <c r="M218" s="165"/>
      <c r="N218" s="192"/>
      <c r="O218" s="165"/>
    </row>
    <row r="219" spans="1:15" s="166" customFormat="1" ht="15.75" customHeight="1" x14ac:dyDescent="0.2">
      <c r="A219" s="165"/>
      <c r="B219" s="163"/>
      <c r="C219" s="165"/>
      <c r="D219" s="164"/>
      <c r="E219" s="164"/>
      <c r="F219" s="203" t="s">
        <v>452</v>
      </c>
      <c r="G219" s="169" t="s">
        <v>385</v>
      </c>
      <c r="H219" s="151" t="s">
        <v>154</v>
      </c>
      <c r="I219" s="214">
        <f>454108.8-261028.53</f>
        <v>193080.27</v>
      </c>
      <c r="J219" s="165"/>
      <c r="K219" s="155">
        <f t="shared" si="56"/>
        <v>193080.27</v>
      </c>
      <c r="L219" s="165"/>
      <c r="M219" s="165"/>
      <c r="N219" s="192"/>
      <c r="O219" s="165"/>
    </row>
    <row r="220" spans="1:15" s="166" customFormat="1" ht="15.75" customHeight="1" x14ac:dyDescent="0.2">
      <c r="A220" s="165"/>
      <c r="B220" s="163"/>
      <c r="C220" s="165"/>
      <c r="D220" s="164"/>
      <c r="E220" s="164"/>
      <c r="F220" s="203" t="s">
        <v>452</v>
      </c>
      <c r="G220" s="169" t="s">
        <v>385</v>
      </c>
      <c r="H220" s="151" t="s">
        <v>155</v>
      </c>
      <c r="I220" s="155">
        <v>30000</v>
      </c>
      <c r="J220" s="165"/>
      <c r="K220" s="155">
        <f t="shared" si="56"/>
        <v>30000</v>
      </c>
      <c r="L220" s="165"/>
      <c r="M220" s="165"/>
      <c r="N220" s="192"/>
      <c r="O220" s="165"/>
    </row>
    <row r="221" spans="1:15" s="166" customFormat="1" ht="15.75" customHeight="1" x14ac:dyDescent="0.2">
      <c r="A221" s="165"/>
      <c r="B221" s="163"/>
      <c r="C221" s="165"/>
      <c r="D221" s="164"/>
      <c r="E221" s="164"/>
      <c r="F221" s="203" t="s">
        <v>452</v>
      </c>
      <c r="G221" s="169" t="s">
        <v>385</v>
      </c>
      <c r="H221" s="151" t="s">
        <v>156</v>
      </c>
      <c r="I221" s="155">
        <v>222734.77</v>
      </c>
      <c r="J221" s="165"/>
      <c r="K221" s="155">
        <f t="shared" si="56"/>
        <v>222734.77</v>
      </c>
      <c r="L221" s="165"/>
      <c r="M221" s="165"/>
      <c r="N221" s="192"/>
      <c r="O221" s="165"/>
    </row>
    <row r="222" spans="1:15" s="166" customFormat="1" ht="15.75" customHeight="1" x14ac:dyDescent="0.2">
      <c r="A222" s="165"/>
      <c r="B222" s="163"/>
      <c r="C222" s="165"/>
      <c r="D222" s="164"/>
      <c r="E222" s="164"/>
      <c r="F222" s="203" t="s">
        <v>452</v>
      </c>
      <c r="G222" s="169" t="s">
        <v>386</v>
      </c>
      <c r="H222" s="151" t="s">
        <v>154</v>
      </c>
      <c r="I222" s="155">
        <f>387062.5-387062.5</f>
        <v>0</v>
      </c>
      <c r="J222" s="165"/>
      <c r="K222" s="155">
        <f t="shared" si="56"/>
        <v>0</v>
      </c>
      <c r="L222" s="165"/>
      <c r="M222" s="165"/>
      <c r="N222" s="192"/>
      <c r="O222" s="165"/>
    </row>
    <row r="223" spans="1:15" s="166" customFormat="1" ht="15.75" customHeight="1" x14ac:dyDescent="0.2">
      <c r="A223" s="165"/>
      <c r="B223" s="163"/>
      <c r="C223" s="165"/>
      <c r="D223" s="164"/>
      <c r="E223" s="164"/>
      <c r="F223" s="203" t="s">
        <v>452</v>
      </c>
      <c r="G223" s="169" t="s">
        <v>386</v>
      </c>
      <c r="H223" s="151" t="s">
        <v>156</v>
      </c>
      <c r="I223" s="155">
        <v>523518.18</v>
      </c>
      <c r="J223" s="165"/>
      <c r="K223" s="155">
        <f t="shared" si="56"/>
        <v>523518.18</v>
      </c>
      <c r="L223" s="165"/>
      <c r="M223" s="165"/>
      <c r="N223" s="192"/>
      <c r="O223" s="165"/>
    </row>
    <row r="224" spans="1:15" s="166" customFormat="1" ht="15.75" customHeight="1" x14ac:dyDescent="0.2">
      <c r="A224" s="165"/>
      <c r="B224" s="163"/>
      <c r="C224" s="165"/>
      <c r="D224" s="164"/>
      <c r="E224" s="164"/>
      <c r="F224" s="203" t="s">
        <v>452</v>
      </c>
      <c r="G224" s="169" t="s">
        <v>387</v>
      </c>
      <c r="H224" s="151" t="s">
        <v>154</v>
      </c>
      <c r="I224" s="155">
        <f>744670.88-350465.32</f>
        <v>394205.56</v>
      </c>
      <c r="J224" s="165"/>
      <c r="K224" s="155">
        <f t="shared" si="56"/>
        <v>394205.56</v>
      </c>
      <c r="L224" s="165"/>
      <c r="M224" s="165"/>
      <c r="N224" s="192"/>
      <c r="O224" s="165"/>
    </row>
    <row r="225" spans="1:15" s="166" customFormat="1" ht="15.75" customHeight="1" x14ac:dyDescent="0.2">
      <c r="A225" s="165"/>
      <c r="B225" s="163"/>
      <c r="C225" s="165"/>
      <c r="D225" s="164"/>
      <c r="E225" s="164"/>
      <c r="F225" s="203" t="s">
        <v>452</v>
      </c>
      <c r="G225" s="169" t="s">
        <v>387</v>
      </c>
      <c r="H225" s="151" t="s">
        <v>155</v>
      </c>
      <c r="I225" s="155">
        <v>10000</v>
      </c>
      <c r="J225" s="165"/>
      <c r="K225" s="155">
        <f t="shared" si="56"/>
        <v>10000</v>
      </c>
      <c r="L225" s="165"/>
      <c r="M225" s="165"/>
      <c r="N225" s="192"/>
      <c r="O225" s="165"/>
    </row>
    <row r="226" spans="1:15" s="166" customFormat="1" ht="15.75" customHeight="1" x14ac:dyDescent="0.2">
      <c r="A226" s="165"/>
      <c r="B226" s="163"/>
      <c r="C226" s="165"/>
      <c r="D226" s="164"/>
      <c r="E226" s="164"/>
      <c r="F226" s="203" t="s">
        <v>452</v>
      </c>
      <c r="G226" s="169" t="s">
        <v>387</v>
      </c>
      <c r="H226" s="151" t="s">
        <v>156</v>
      </c>
      <c r="I226" s="155">
        <v>509190</v>
      </c>
      <c r="J226" s="165"/>
      <c r="K226" s="155">
        <f t="shared" si="56"/>
        <v>509190</v>
      </c>
      <c r="L226" s="165"/>
      <c r="M226" s="165"/>
      <c r="N226" s="192"/>
      <c r="O226" s="165"/>
    </row>
    <row r="227" spans="1:15" s="166" customFormat="1" ht="15.75" customHeight="1" x14ac:dyDescent="0.2">
      <c r="A227" s="165"/>
      <c r="B227" s="163"/>
      <c r="C227" s="165"/>
      <c r="D227" s="164"/>
      <c r="E227" s="164"/>
      <c r="F227" s="203" t="s">
        <v>452</v>
      </c>
      <c r="G227" s="169" t="s">
        <v>388</v>
      </c>
      <c r="H227" s="151" t="s">
        <v>154</v>
      </c>
      <c r="I227" s="155">
        <f>255000-255000</f>
        <v>0</v>
      </c>
      <c r="J227" s="165"/>
      <c r="K227" s="155">
        <f t="shared" si="56"/>
        <v>0</v>
      </c>
      <c r="L227" s="165"/>
      <c r="M227" s="165"/>
      <c r="N227" s="192"/>
      <c r="O227" s="165"/>
    </row>
    <row r="228" spans="1:15" s="166" customFormat="1" ht="15.75" customHeight="1" x14ac:dyDescent="0.2">
      <c r="A228" s="165"/>
      <c r="B228" s="163"/>
      <c r="C228" s="165"/>
      <c r="D228" s="164"/>
      <c r="E228" s="164"/>
      <c r="F228" s="203" t="s">
        <v>452</v>
      </c>
      <c r="G228" s="169" t="s">
        <v>388</v>
      </c>
      <c r="H228" s="151" t="s">
        <v>156</v>
      </c>
      <c r="I228" s="155">
        <v>638720</v>
      </c>
      <c r="J228" s="165"/>
      <c r="K228" s="155">
        <f t="shared" si="56"/>
        <v>638720</v>
      </c>
      <c r="L228" s="165"/>
      <c r="M228" s="165"/>
      <c r="N228" s="192"/>
      <c r="O228" s="165"/>
    </row>
    <row r="229" spans="1:15" s="166" customFormat="1" ht="15.75" customHeight="1" x14ac:dyDescent="0.2">
      <c r="A229" s="165"/>
      <c r="B229" s="163"/>
      <c r="C229" s="165"/>
      <c r="D229" s="164"/>
      <c r="E229" s="164"/>
      <c r="F229" s="203" t="s">
        <v>452</v>
      </c>
      <c r="G229" s="169" t="s">
        <v>389</v>
      </c>
      <c r="H229" s="151" t="s">
        <v>154</v>
      </c>
      <c r="I229" s="155">
        <f>701360-701360</f>
        <v>0</v>
      </c>
      <c r="J229" s="165"/>
      <c r="K229" s="155">
        <f t="shared" si="56"/>
        <v>0</v>
      </c>
      <c r="L229" s="165"/>
      <c r="M229" s="165"/>
      <c r="N229" s="192"/>
      <c r="O229" s="165"/>
    </row>
    <row r="230" spans="1:15" s="166" customFormat="1" ht="15.75" customHeight="1" x14ac:dyDescent="0.2">
      <c r="A230" s="165"/>
      <c r="B230" s="163"/>
      <c r="C230" s="165"/>
      <c r="D230" s="164"/>
      <c r="E230" s="164"/>
      <c r="F230" s="203" t="s">
        <v>452</v>
      </c>
      <c r="G230" s="169" t="s">
        <v>389</v>
      </c>
      <c r="H230" s="151" t="s">
        <v>155</v>
      </c>
      <c r="I230" s="155">
        <v>5000</v>
      </c>
      <c r="J230" s="165"/>
      <c r="K230" s="155">
        <f t="shared" si="56"/>
        <v>5000</v>
      </c>
      <c r="L230" s="165"/>
      <c r="M230" s="165"/>
      <c r="N230" s="192"/>
      <c r="O230" s="165"/>
    </row>
    <row r="231" spans="1:15" s="166" customFormat="1" ht="15.75" customHeight="1" x14ac:dyDescent="0.2">
      <c r="A231" s="165"/>
      <c r="B231" s="163"/>
      <c r="C231" s="165"/>
      <c r="D231" s="164"/>
      <c r="E231" s="164"/>
      <c r="F231" s="203" t="s">
        <v>452</v>
      </c>
      <c r="G231" s="169" t="s">
        <v>389</v>
      </c>
      <c r="H231" s="151" t="s">
        <v>156</v>
      </c>
      <c r="I231" s="155">
        <v>822345.8</v>
      </c>
      <c r="J231" s="165"/>
      <c r="K231" s="155">
        <f t="shared" si="56"/>
        <v>822345.8</v>
      </c>
      <c r="L231" s="165"/>
      <c r="M231" s="165"/>
      <c r="N231" s="192"/>
      <c r="O231" s="165"/>
    </row>
    <row r="232" spans="1:15" s="166" customFormat="1" ht="15.75" customHeight="1" x14ac:dyDescent="0.2">
      <c r="A232" s="165"/>
      <c r="B232" s="163"/>
      <c r="C232" s="165"/>
      <c r="D232" s="164"/>
      <c r="E232" s="164"/>
      <c r="F232" s="203" t="s">
        <v>452</v>
      </c>
      <c r="G232" s="169" t="s">
        <v>390</v>
      </c>
      <c r="H232" s="151" t="s">
        <v>156</v>
      </c>
      <c r="I232" s="155">
        <v>696354</v>
      </c>
      <c r="J232" s="165"/>
      <c r="K232" s="155">
        <f t="shared" si="56"/>
        <v>696354</v>
      </c>
      <c r="L232" s="165"/>
      <c r="M232" s="165"/>
      <c r="N232" s="192"/>
      <c r="O232" s="165"/>
    </row>
    <row r="233" spans="1:15" s="166" customFormat="1" ht="15.75" customHeight="1" x14ac:dyDescent="0.2">
      <c r="A233" s="165"/>
      <c r="B233" s="163"/>
      <c r="C233" s="165"/>
      <c r="D233" s="164"/>
      <c r="E233" s="164"/>
      <c r="F233" s="203" t="s">
        <v>452</v>
      </c>
      <c r="G233" s="169" t="s">
        <v>391</v>
      </c>
      <c r="H233" s="151" t="s">
        <v>156</v>
      </c>
      <c r="I233" s="155">
        <v>468527</v>
      </c>
      <c r="J233" s="165"/>
      <c r="K233" s="155">
        <f t="shared" si="56"/>
        <v>468527</v>
      </c>
      <c r="L233" s="165"/>
      <c r="M233" s="165"/>
      <c r="N233" s="192"/>
      <c r="O233" s="165"/>
    </row>
    <row r="234" spans="1:15" s="166" customFormat="1" ht="15.75" customHeight="1" x14ac:dyDescent="0.2">
      <c r="A234" s="165"/>
      <c r="B234" s="163"/>
      <c r="C234" s="165"/>
      <c r="D234" s="164"/>
      <c r="E234" s="164"/>
      <c r="F234" s="203" t="s">
        <v>452</v>
      </c>
      <c r="G234" s="169" t="s">
        <v>391</v>
      </c>
      <c r="H234" s="151" t="s">
        <v>159</v>
      </c>
      <c r="I234" s="155">
        <v>46689</v>
      </c>
      <c r="J234" s="165"/>
      <c r="K234" s="66">
        <f>+I234</f>
        <v>46689</v>
      </c>
      <c r="L234" s="165"/>
      <c r="M234" s="165"/>
      <c r="N234" s="192"/>
      <c r="O234" s="165"/>
    </row>
    <row r="235" spans="1:15" s="166" customFormat="1" ht="15.75" customHeight="1" x14ac:dyDescent="0.2">
      <c r="A235" s="165"/>
      <c r="B235" s="163"/>
      <c r="C235" s="165"/>
      <c r="D235" s="164"/>
      <c r="E235" s="164"/>
      <c r="F235" s="203" t="s">
        <v>452</v>
      </c>
      <c r="G235" s="169" t="s">
        <v>392</v>
      </c>
      <c r="H235" s="151" t="s">
        <v>156</v>
      </c>
      <c r="I235" s="155">
        <v>491395.56</v>
      </c>
      <c r="J235" s="165"/>
      <c r="K235" s="155">
        <f t="shared" si="56"/>
        <v>491395.56</v>
      </c>
      <c r="L235" s="165"/>
      <c r="M235" s="165"/>
      <c r="N235" s="192"/>
      <c r="O235" s="165"/>
    </row>
    <row r="236" spans="1:15" s="166" customFormat="1" ht="15.75" customHeight="1" x14ac:dyDescent="0.2">
      <c r="A236" s="165"/>
      <c r="B236" s="163"/>
      <c r="C236" s="165"/>
      <c r="D236" s="164"/>
      <c r="E236" s="164"/>
      <c r="F236" s="203" t="s">
        <v>452</v>
      </c>
      <c r="G236" s="169" t="s">
        <v>393</v>
      </c>
      <c r="H236" s="151" t="s">
        <v>156</v>
      </c>
      <c r="I236" s="155">
        <v>780957.8</v>
      </c>
      <c r="J236" s="165"/>
      <c r="K236" s="155">
        <f t="shared" si="56"/>
        <v>780957.8</v>
      </c>
      <c r="L236" s="165"/>
      <c r="M236" s="165"/>
      <c r="N236" s="192"/>
      <c r="O236" s="165"/>
    </row>
    <row r="237" spans="1:15" s="166" customFormat="1" ht="15.75" customHeight="1" x14ac:dyDescent="0.2">
      <c r="A237" s="165"/>
      <c r="B237" s="163"/>
      <c r="C237" s="165"/>
      <c r="D237" s="164"/>
      <c r="E237" s="164"/>
      <c r="F237" s="203" t="s">
        <v>452</v>
      </c>
      <c r="G237" s="169" t="s">
        <v>394</v>
      </c>
      <c r="H237" s="151" t="s">
        <v>156</v>
      </c>
      <c r="I237" s="155">
        <v>2277443.73</v>
      </c>
      <c r="J237" s="165"/>
      <c r="K237" s="155">
        <f t="shared" si="56"/>
        <v>2277443.73</v>
      </c>
      <c r="L237" s="165"/>
      <c r="M237" s="165"/>
      <c r="N237" s="192"/>
      <c r="O237" s="165"/>
    </row>
    <row r="238" spans="1:15" s="166" customFormat="1" ht="15.75" customHeight="1" x14ac:dyDescent="0.2">
      <c r="A238" s="165"/>
      <c r="B238" s="163"/>
      <c r="C238" s="165"/>
      <c r="D238" s="164"/>
      <c r="E238" s="164"/>
      <c r="F238" s="203" t="s">
        <v>452</v>
      </c>
      <c r="G238" s="169" t="s">
        <v>395</v>
      </c>
      <c r="H238" s="151" t="s">
        <v>156</v>
      </c>
      <c r="I238" s="155">
        <v>561059.80000000005</v>
      </c>
      <c r="J238" s="165"/>
      <c r="K238" s="155">
        <f t="shared" si="56"/>
        <v>561059.80000000005</v>
      </c>
      <c r="L238" s="165"/>
      <c r="M238" s="165"/>
      <c r="N238" s="192"/>
      <c r="O238" s="165"/>
    </row>
    <row r="239" spans="1:15" s="166" customFormat="1" ht="15.75" customHeight="1" x14ac:dyDescent="0.2">
      <c r="A239" s="165"/>
      <c r="B239" s="163"/>
      <c r="C239" s="165"/>
      <c r="D239" s="164"/>
      <c r="E239" s="164"/>
      <c r="F239" s="203" t="s">
        <v>452</v>
      </c>
      <c r="G239" s="169" t="s">
        <v>396</v>
      </c>
      <c r="H239" s="151" t="s">
        <v>159</v>
      </c>
      <c r="I239" s="155">
        <v>1746800</v>
      </c>
      <c r="J239" s="165"/>
      <c r="K239" s="66">
        <f>+I239</f>
        <v>1746800</v>
      </c>
      <c r="L239" s="165"/>
      <c r="M239" s="165"/>
      <c r="N239" s="192"/>
      <c r="O239" s="165"/>
    </row>
    <row r="240" spans="1:15" s="166" customFormat="1" ht="15.75" customHeight="1" x14ac:dyDescent="0.2">
      <c r="A240" s="162" t="s">
        <v>322</v>
      </c>
      <c r="B240" s="163" t="s">
        <v>334</v>
      </c>
      <c r="C240" s="165"/>
      <c r="D240" s="164">
        <v>15000000</v>
      </c>
      <c r="E240" s="164">
        <v>63406016</v>
      </c>
      <c r="F240" s="201" t="s">
        <v>451</v>
      </c>
      <c r="G240" s="150" t="s">
        <v>421</v>
      </c>
      <c r="H240" s="151"/>
      <c r="I240" s="155">
        <v>15000000</v>
      </c>
      <c r="J240" s="165"/>
      <c r="K240" s="155">
        <f t="shared" si="56"/>
        <v>15000000</v>
      </c>
      <c r="L240" s="165"/>
      <c r="M240" s="165"/>
      <c r="N240" s="192">
        <f t="shared" si="52"/>
        <v>48406016</v>
      </c>
      <c r="O240" s="210" t="s">
        <v>433</v>
      </c>
    </row>
    <row r="241" spans="1:17" s="166" customFormat="1" ht="15.75" customHeight="1" x14ac:dyDescent="0.2">
      <c r="A241" s="162" t="s">
        <v>322</v>
      </c>
      <c r="B241" s="163" t="s">
        <v>335</v>
      </c>
      <c r="C241" s="165"/>
      <c r="D241" s="164">
        <v>17882382.600000001</v>
      </c>
      <c r="E241" s="164">
        <v>17882382.600000001</v>
      </c>
      <c r="F241" s="203"/>
      <c r="G241" s="150"/>
      <c r="H241" s="151"/>
      <c r="I241" s="155">
        <v>0</v>
      </c>
      <c r="J241" s="165"/>
      <c r="K241" s="165"/>
      <c r="L241" s="165"/>
      <c r="M241" s="165"/>
      <c r="N241" s="192">
        <f t="shared" si="52"/>
        <v>17882382.600000001</v>
      </c>
      <c r="O241" s="210" t="s">
        <v>434</v>
      </c>
    </row>
    <row r="242" spans="1:17" s="166" customFormat="1" ht="15.75" customHeight="1" x14ac:dyDescent="0.2">
      <c r="A242" s="162" t="s">
        <v>322</v>
      </c>
      <c r="B242" s="163" t="s">
        <v>219</v>
      </c>
      <c r="C242" s="165"/>
      <c r="D242" s="164">
        <f>34346037.93+351110</f>
        <v>34697147.93</v>
      </c>
      <c r="E242" s="164">
        <v>34697147.93</v>
      </c>
      <c r="F242" s="201" t="s">
        <v>449</v>
      </c>
      <c r="G242" s="150" t="s">
        <v>398</v>
      </c>
      <c r="H242" s="151" t="s">
        <v>155</v>
      </c>
      <c r="I242" s="155">
        <v>261038.8</v>
      </c>
      <c r="J242" s="154">
        <f>+I242</f>
        <v>261038.8</v>
      </c>
      <c r="K242" s="165"/>
      <c r="L242" s="165"/>
      <c r="M242" s="165"/>
      <c r="N242" s="192">
        <f>+E242-I242-I243-I244-I245</f>
        <v>29500894.130000003</v>
      </c>
      <c r="O242" s="210" t="s">
        <v>436</v>
      </c>
    </row>
    <row r="243" spans="1:17" s="166" customFormat="1" ht="15.75" customHeight="1" x14ac:dyDescent="0.2">
      <c r="A243" s="165"/>
      <c r="B243" s="163"/>
      <c r="C243" s="165"/>
      <c r="D243" s="164"/>
      <c r="E243" s="164"/>
      <c r="F243" s="201" t="s">
        <v>449</v>
      </c>
      <c r="G243" s="150" t="s">
        <v>398</v>
      </c>
      <c r="H243" s="151" t="s">
        <v>156</v>
      </c>
      <c r="I243" s="155">
        <v>11182</v>
      </c>
      <c r="J243" s="154">
        <f>+I243</f>
        <v>11182</v>
      </c>
      <c r="K243" s="165"/>
      <c r="L243" s="165"/>
      <c r="M243" s="165"/>
      <c r="N243" s="192"/>
      <c r="O243" s="165"/>
    </row>
    <row r="244" spans="1:17" s="166" customFormat="1" ht="15.75" customHeight="1" x14ac:dyDescent="0.2">
      <c r="A244" s="165"/>
      <c r="B244" s="163"/>
      <c r="C244" s="165"/>
      <c r="D244" s="164"/>
      <c r="E244" s="164"/>
      <c r="F244" s="201" t="s">
        <v>449</v>
      </c>
      <c r="G244" s="150" t="s">
        <v>398</v>
      </c>
      <c r="H244" s="151" t="s">
        <v>160</v>
      </c>
      <c r="I244" s="155">
        <v>1889033</v>
      </c>
      <c r="J244" s="154">
        <f>+I244</f>
        <v>1889033</v>
      </c>
      <c r="K244" s="165"/>
      <c r="L244" s="165"/>
      <c r="M244" s="165"/>
      <c r="N244" s="192"/>
      <c r="O244" s="165"/>
    </row>
    <row r="245" spans="1:17" s="166" customFormat="1" ht="15.75" customHeight="1" x14ac:dyDescent="0.2">
      <c r="A245" s="165"/>
      <c r="B245" s="163"/>
      <c r="C245" s="165"/>
      <c r="D245" s="164"/>
      <c r="E245" s="164"/>
      <c r="F245" s="201" t="s">
        <v>451</v>
      </c>
      <c r="G245" s="150" t="s">
        <v>403</v>
      </c>
      <c r="H245" s="151" t="s">
        <v>159</v>
      </c>
      <c r="I245" s="155">
        <f>5000000-1965000</f>
        <v>3035000</v>
      </c>
      <c r="J245" s="165"/>
      <c r="K245" s="66">
        <f>+I245</f>
        <v>3035000</v>
      </c>
      <c r="L245" s="165"/>
      <c r="M245" s="165"/>
      <c r="N245" s="192"/>
      <c r="O245" s="165"/>
    </row>
    <row r="246" spans="1:17" s="166" customFormat="1" ht="12.75" x14ac:dyDescent="0.2">
      <c r="A246" s="165"/>
      <c r="B246" s="163"/>
      <c r="C246" s="165"/>
      <c r="D246" s="164"/>
      <c r="E246" s="164"/>
      <c r="F246" s="202"/>
      <c r="G246" s="156"/>
      <c r="H246" s="157"/>
      <c r="I246" s="161">
        <f>SUM(I186:I245)</f>
        <v>279500586.97000009</v>
      </c>
      <c r="J246" s="161">
        <f t="shared" ref="J246:K246" si="57">SUM(J186:J245)</f>
        <v>121568237.70999999</v>
      </c>
      <c r="K246" s="161">
        <f t="shared" si="57"/>
        <v>157932349.25999999</v>
      </c>
      <c r="L246" s="158">
        <f t="shared" ref="L246" si="58">SUM(L186:L245)</f>
        <v>0</v>
      </c>
      <c r="M246" s="160"/>
      <c r="N246" s="193"/>
      <c r="O246" s="165"/>
    </row>
    <row r="247" spans="1:17" s="166" customFormat="1" ht="15.75" customHeight="1" x14ac:dyDescent="0.2">
      <c r="A247" s="165"/>
      <c r="B247" s="163" t="s">
        <v>336</v>
      </c>
      <c r="C247" s="165"/>
      <c r="D247" s="164"/>
      <c r="E247" s="164">
        <v>1763032.38</v>
      </c>
      <c r="F247" s="203"/>
      <c r="G247" s="150"/>
      <c r="H247" s="151"/>
      <c r="I247" s="155">
        <v>0</v>
      </c>
      <c r="J247" s="165"/>
      <c r="K247" s="165"/>
      <c r="L247" s="165"/>
      <c r="M247" s="165"/>
      <c r="N247" s="192">
        <f>+E247</f>
        <v>1763032.38</v>
      </c>
      <c r="O247" s="165"/>
    </row>
    <row r="248" spans="1:17" s="166" customFormat="1" ht="15.75" customHeight="1" x14ac:dyDescent="0.2">
      <c r="A248" s="165"/>
      <c r="B248" s="163" t="s">
        <v>220</v>
      </c>
      <c r="C248" s="165"/>
      <c r="D248" s="165"/>
      <c r="E248" s="164">
        <v>18918.490000000002</v>
      </c>
      <c r="F248" s="203"/>
      <c r="G248" s="150" t="s">
        <v>422</v>
      </c>
      <c r="H248" s="151"/>
      <c r="I248" s="155">
        <v>0</v>
      </c>
      <c r="J248" s="165"/>
      <c r="K248" s="165"/>
      <c r="L248" s="165"/>
      <c r="M248" s="165"/>
      <c r="N248" s="192">
        <f t="shared" ref="N248:N251" si="59">+E248</f>
        <v>18918.490000000002</v>
      </c>
      <c r="O248" s="165"/>
    </row>
    <row r="249" spans="1:17" s="166" customFormat="1" ht="15.75" customHeight="1" x14ac:dyDescent="0.2">
      <c r="A249" s="165"/>
      <c r="B249" s="163" t="s">
        <v>221</v>
      </c>
      <c r="C249" s="165"/>
      <c r="D249" s="165"/>
      <c r="E249" s="164">
        <v>6615.98</v>
      </c>
      <c r="F249" s="203"/>
      <c r="G249" s="150" t="s">
        <v>423</v>
      </c>
      <c r="H249" s="151"/>
      <c r="I249" s="155">
        <v>0</v>
      </c>
      <c r="J249" s="165"/>
      <c r="K249" s="165"/>
      <c r="L249" s="165"/>
      <c r="M249" s="165"/>
      <c r="N249" s="192">
        <f t="shared" si="59"/>
        <v>6615.98</v>
      </c>
      <c r="O249" s="165"/>
    </row>
    <row r="250" spans="1:17" s="166" customFormat="1" ht="15.75" customHeight="1" x14ac:dyDescent="0.2">
      <c r="A250" s="165"/>
      <c r="B250" s="163" t="s">
        <v>337</v>
      </c>
      <c r="C250" s="165"/>
      <c r="D250" s="165"/>
      <c r="E250" s="164">
        <v>2805281.46</v>
      </c>
      <c r="F250" s="203"/>
      <c r="G250" s="150" t="s">
        <v>420</v>
      </c>
      <c r="H250" s="151"/>
      <c r="I250" s="155">
        <v>0</v>
      </c>
      <c r="J250" s="165"/>
      <c r="K250" s="165"/>
      <c r="L250" s="165"/>
      <c r="M250" s="165"/>
      <c r="N250" s="192">
        <f t="shared" si="59"/>
        <v>2805281.46</v>
      </c>
      <c r="O250" s="210" t="s">
        <v>435</v>
      </c>
    </row>
    <row r="251" spans="1:17" s="166" customFormat="1" ht="15.75" customHeight="1" x14ac:dyDescent="0.2">
      <c r="A251" s="165"/>
      <c r="B251" s="171" t="s">
        <v>338</v>
      </c>
      <c r="C251" s="165"/>
      <c r="D251" s="165"/>
      <c r="E251" s="164">
        <v>993966.41</v>
      </c>
      <c r="F251" s="203"/>
      <c r="G251" s="150" t="s">
        <v>424</v>
      </c>
      <c r="H251" s="151"/>
      <c r="I251" s="155">
        <v>0</v>
      </c>
      <c r="J251" s="165"/>
      <c r="K251" s="165"/>
      <c r="L251" s="165"/>
      <c r="M251" s="165"/>
      <c r="N251" s="192">
        <f t="shared" si="59"/>
        <v>993966.41</v>
      </c>
      <c r="O251" s="210" t="s">
        <v>437</v>
      </c>
    </row>
    <row r="252" spans="1:17" s="166" customFormat="1" ht="15.75" customHeight="1" x14ac:dyDescent="0.2">
      <c r="A252" s="165"/>
      <c r="B252" s="165"/>
      <c r="C252" s="165"/>
      <c r="D252" s="165"/>
      <c r="E252" s="164"/>
      <c r="F252" s="203"/>
      <c r="G252" s="150"/>
      <c r="H252" s="151"/>
      <c r="I252" s="152"/>
      <c r="J252" s="165"/>
      <c r="K252" s="165"/>
      <c r="L252" s="165"/>
      <c r="M252" s="165"/>
      <c r="N252" s="165"/>
      <c r="O252" s="211"/>
    </row>
    <row r="253" spans="1:17" s="166" customFormat="1" ht="15.75" customHeight="1" x14ac:dyDescent="0.2">
      <c r="A253" s="165"/>
      <c r="B253" s="165"/>
      <c r="C253" s="165"/>
      <c r="D253" s="172"/>
      <c r="E253" s="173"/>
      <c r="F253" s="203"/>
      <c r="G253" s="174"/>
      <c r="H253" s="175"/>
      <c r="I253" s="176"/>
      <c r="J253" s="172"/>
      <c r="K253" s="165"/>
      <c r="L253" s="165"/>
      <c r="M253" s="165"/>
      <c r="N253" s="165"/>
      <c r="O253" s="165"/>
    </row>
    <row r="254" spans="1:17" s="166" customFormat="1" ht="15.75" customHeight="1" x14ac:dyDescent="0.2">
      <c r="A254" s="165"/>
      <c r="B254" s="165"/>
      <c r="C254" s="177"/>
      <c r="D254" s="178"/>
      <c r="E254" s="179"/>
      <c r="F254" s="203"/>
      <c r="G254" s="180"/>
      <c r="H254" s="181"/>
      <c r="I254" s="182"/>
      <c r="J254" s="178"/>
      <c r="K254" s="183"/>
      <c r="L254" s="165"/>
      <c r="M254" s="165"/>
      <c r="N254" s="165"/>
      <c r="O254" s="165"/>
    </row>
    <row r="255" spans="1:17" s="166" customFormat="1" ht="15.75" customHeight="1" x14ac:dyDescent="0.2">
      <c r="D255" s="189">
        <f>SUM(D11:D254)</f>
        <v>3393022152.8800001</v>
      </c>
      <c r="E255" s="189">
        <f>SUM(E11:E254)</f>
        <v>3758149671.5900002</v>
      </c>
      <c r="F255" s="184"/>
      <c r="G255" s="185"/>
      <c r="H255" s="185"/>
      <c r="I255" s="186">
        <f>+I34+I37+I40+I46+I48+I50+I52+I58+I62+I66+I69+I73+I78+I83+I91+I96+I101+I108+I112+I114+I116+I118+I123+I128+I130+I133+I169+I171+I173+I184+I246</f>
        <v>2647876271.5600004</v>
      </c>
      <c r="J255" s="186">
        <f>+J34+J37+J40+J46+J48+J50+J52+J58+J62+J66+J69+J73+J78+J83+J91+J96+J101+J108+J112+J114+J116+J118+J123+J128+J130+J133+J169+J171+J173+J184+J246</f>
        <v>1229090789.6899998</v>
      </c>
      <c r="K255" s="186">
        <f>+K34+K37+K40+K46+K48+K50+K52+K58+K62+K66+K69+K73+K78+K83+K91+K96+K101+K108+K112+K114+K116+K118+K123+K128+K130+K133+K169+K171+K173+K184+K246</f>
        <v>1414122202.8199999</v>
      </c>
      <c r="L255" s="186">
        <f>+L34+L37+L40+L46+L48+L50+L52+L58+L62+L66+L69+L73+L78+L83+L91+L96+L101+L108+L112+L114+L116+L118+L123+L128+L130+L133+L169+L171+L173+L184+L246</f>
        <v>4663279.05</v>
      </c>
      <c r="N255" s="194">
        <f>SUM(N11:N254)</f>
        <v>1110273400.0300004</v>
      </c>
    </row>
    <row r="256" spans="1:17" s="166" customFormat="1" ht="15.75" customHeight="1" x14ac:dyDescent="0.2">
      <c r="D256" s="190"/>
      <c r="E256" s="191"/>
      <c r="F256" s="184"/>
      <c r="G256" s="185"/>
      <c r="H256" s="185"/>
      <c r="I256" s="186"/>
      <c r="J256" s="186"/>
      <c r="K256" s="186"/>
      <c r="L256" s="213"/>
      <c r="N256" s="213"/>
      <c r="P256" s="196" t="s">
        <v>445</v>
      </c>
      <c r="Q256" s="197">
        <v>153200163.50999999</v>
      </c>
    </row>
    <row r="257" spans="4:17" s="166" customFormat="1" ht="15.75" customHeight="1" x14ac:dyDescent="0.2">
      <c r="D257" s="185"/>
      <c r="E257" s="184"/>
      <c r="F257" s="184"/>
      <c r="G257" s="185"/>
      <c r="H257" s="185"/>
      <c r="I257" s="186"/>
      <c r="J257" s="186"/>
      <c r="K257" s="186"/>
      <c r="L257" s="186"/>
      <c r="N257" s="186"/>
      <c r="P257" s="196" t="s">
        <v>446</v>
      </c>
      <c r="Q257" s="197">
        <v>73893561</v>
      </c>
    </row>
    <row r="258" spans="4:17" s="166" customFormat="1" ht="15.75" customHeight="1" x14ac:dyDescent="0.2">
      <c r="D258" s="185"/>
      <c r="E258" s="184"/>
      <c r="F258" s="184"/>
      <c r="G258" s="185"/>
      <c r="H258" s="185"/>
      <c r="I258" s="186"/>
      <c r="P258" s="196" t="s">
        <v>447</v>
      </c>
      <c r="Q258" s="197">
        <v>41303839.07</v>
      </c>
    </row>
    <row r="259" spans="4:17" s="166" customFormat="1" ht="15.75" customHeight="1" x14ac:dyDescent="0.2">
      <c r="D259" s="185"/>
      <c r="E259" s="184"/>
      <c r="F259" s="184"/>
      <c r="G259" s="185"/>
      <c r="H259" s="185"/>
      <c r="I259" s="186"/>
      <c r="P259" s="198" t="s">
        <v>448</v>
      </c>
      <c r="Q259" s="199">
        <f>SUM(Q256:Q258)</f>
        <v>268397563.57999998</v>
      </c>
    </row>
    <row r="260" spans="4:17" s="166" customFormat="1" ht="15.75" customHeight="1" x14ac:dyDescent="0.2">
      <c r="D260" s="185"/>
      <c r="E260" s="184"/>
      <c r="F260" s="184"/>
      <c r="G260" s="185"/>
      <c r="H260" s="185"/>
      <c r="I260" s="186"/>
    </row>
    <row r="261" spans="4:17" s="166" customFormat="1" ht="15.75" customHeight="1" x14ac:dyDescent="0.2">
      <c r="D261" s="185"/>
      <c r="E261" s="184"/>
      <c r="F261" s="184"/>
      <c r="G261" s="185"/>
      <c r="H261" s="185"/>
      <c r="I261" s="186"/>
    </row>
    <row r="262" spans="4:17" s="166" customFormat="1" ht="15.75" customHeight="1" x14ac:dyDescent="0.2">
      <c r="D262" s="185"/>
      <c r="E262" s="184"/>
      <c r="F262" s="184"/>
      <c r="G262" s="185"/>
      <c r="H262" s="185"/>
      <c r="I262" s="186"/>
    </row>
    <row r="263" spans="4:17" s="166" customFormat="1" ht="15.75" customHeight="1" x14ac:dyDescent="0.2">
      <c r="D263" s="185"/>
      <c r="E263" s="184"/>
      <c r="F263" s="184"/>
      <c r="G263" s="185"/>
      <c r="H263" s="185"/>
      <c r="I263" s="186"/>
    </row>
    <row r="264" spans="4:17" s="166" customFormat="1" ht="15.75" customHeight="1" x14ac:dyDescent="0.2">
      <c r="D264" s="185"/>
      <c r="E264" s="185"/>
      <c r="F264" s="185"/>
      <c r="G264" s="185"/>
      <c r="H264" s="185"/>
      <c r="I264" s="186"/>
    </row>
    <row r="265" spans="4:17" s="166" customFormat="1" ht="15.75" customHeight="1" x14ac:dyDescent="0.2">
      <c r="D265" s="185"/>
      <c r="E265" s="185"/>
      <c r="F265" s="185"/>
      <c r="G265" s="185"/>
      <c r="H265" s="185"/>
      <c r="I265" s="186"/>
    </row>
    <row r="266" spans="4:17" s="166" customFormat="1" ht="15.75" customHeight="1" x14ac:dyDescent="0.2">
      <c r="D266" s="185"/>
      <c r="E266" s="185"/>
      <c r="F266" s="185"/>
      <c r="G266" s="185"/>
      <c r="H266" s="185"/>
      <c r="I266" s="186"/>
    </row>
    <row r="267" spans="4:17" s="166" customFormat="1" ht="15.75" customHeight="1" x14ac:dyDescent="0.2">
      <c r="D267" s="185"/>
      <c r="E267" s="185"/>
      <c r="F267" s="185"/>
      <c r="G267" s="185"/>
      <c r="H267" s="185"/>
      <c r="I267" s="186"/>
    </row>
    <row r="268" spans="4:17" s="166" customFormat="1" ht="15.75" customHeight="1" x14ac:dyDescent="0.2">
      <c r="D268" s="185"/>
      <c r="E268" s="185"/>
      <c r="F268" s="185"/>
      <c r="G268" s="185"/>
      <c r="H268" s="185"/>
      <c r="I268" s="186"/>
    </row>
    <row r="269" spans="4:17" s="166" customFormat="1" ht="15.75" customHeight="1" x14ac:dyDescent="0.2">
      <c r="D269" s="185"/>
      <c r="E269" s="185"/>
      <c r="F269" s="185"/>
      <c r="G269" s="185"/>
      <c r="H269" s="185"/>
      <c r="I269" s="186"/>
    </row>
    <row r="270" spans="4:17" s="166" customFormat="1" ht="15.75" customHeight="1" x14ac:dyDescent="0.2">
      <c r="D270" s="185"/>
      <c r="E270" s="185"/>
      <c r="F270" s="185"/>
      <c r="G270" s="185"/>
      <c r="H270" s="185"/>
      <c r="I270" s="186"/>
    </row>
    <row r="271" spans="4:17" s="166" customFormat="1" ht="15.75" customHeight="1" x14ac:dyDescent="0.2">
      <c r="D271" s="185"/>
      <c r="E271" s="185"/>
      <c r="F271" s="185"/>
      <c r="G271" s="185"/>
      <c r="H271" s="185"/>
      <c r="I271" s="186"/>
    </row>
    <row r="272" spans="4:17" s="166" customFormat="1" ht="15.75" customHeight="1" x14ac:dyDescent="0.2">
      <c r="D272" s="185"/>
      <c r="E272" s="185"/>
      <c r="F272" s="185"/>
      <c r="G272" s="185"/>
      <c r="H272" s="185"/>
      <c r="I272" s="186"/>
    </row>
    <row r="273" spans="4:9" s="166" customFormat="1" ht="15.75" customHeight="1" x14ac:dyDescent="0.2">
      <c r="D273" s="185"/>
      <c r="E273" s="185"/>
      <c r="F273" s="185"/>
      <c r="G273" s="185"/>
      <c r="H273" s="185"/>
      <c r="I273" s="186"/>
    </row>
    <row r="274" spans="4:9" s="166" customFormat="1" ht="15.75" customHeight="1" x14ac:dyDescent="0.2">
      <c r="D274" s="185"/>
      <c r="E274" s="185"/>
      <c r="F274" s="185"/>
      <c r="G274" s="185"/>
      <c r="H274" s="185"/>
      <c r="I274" s="186"/>
    </row>
    <row r="275" spans="4:9" s="166" customFormat="1" ht="15.75" customHeight="1" x14ac:dyDescent="0.2">
      <c r="D275" s="185"/>
      <c r="E275" s="185"/>
      <c r="F275" s="185"/>
      <c r="G275" s="185"/>
      <c r="H275" s="185"/>
      <c r="I275" s="186"/>
    </row>
    <row r="276" spans="4:9" s="166" customFormat="1" ht="15.75" customHeight="1" x14ac:dyDescent="0.2">
      <c r="D276" s="185"/>
      <c r="E276" s="185"/>
      <c r="F276" s="185"/>
      <c r="G276" s="185"/>
      <c r="H276" s="185"/>
      <c r="I276" s="186"/>
    </row>
    <row r="277" spans="4:9" s="166" customFormat="1" ht="15.75" customHeight="1" x14ac:dyDescent="0.2">
      <c r="D277" s="185"/>
      <c r="E277" s="185"/>
      <c r="F277" s="185"/>
      <c r="G277" s="185"/>
      <c r="H277" s="185"/>
      <c r="I277" s="186"/>
    </row>
    <row r="278" spans="4:9" s="166" customFormat="1" ht="15.75" customHeight="1" x14ac:dyDescent="0.2">
      <c r="D278" s="185"/>
      <c r="E278" s="185"/>
      <c r="F278" s="185"/>
      <c r="G278" s="185"/>
      <c r="H278" s="185"/>
      <c r="I278" s="186"/>
    </row>
    <row r="279" spans="4:9" s="166" customFormat="1" ht="15.75" customHeight="1" x14ac:dyDescent="0.2">
      <c r="D279" s="185"/>
      <c r="E279" s="185"/>
      <c r="F279" s="185"/>
      <c r="G279" s="185"/>
      <c r="H279" s="185"/>
      <c r="I279" s="186"/>
    </row>
    <row r="280" spans="4:9" s="166" customFormat="1" ht="15.75" customHeight="1" x14ac:dyDescent="0.2">
      <c r="D280" s="185"/>
      <c r="E280" s="185"/>
      <c r="F280" s="185"/>
      <c r="G280" s="185"/>
      <c r="H280" s="185"/>
      <c r="I280" s="186"/>
    </row>
    <row r="281" spans="4:9" s="166" customFormat="1" ht="15.75" customHeight="1" x14ac:dyDescent="0.2">
      <c r="D281" s="185"/>
      <c r="E281" s="185"/>
      <c r="F281" s="185"/>
      <c r="G281" s="185"/>
      <c r="H281" s="185"/>
      <c r="I281" s="186"/>
    </row>
    <row r="282" spans="4:9" s="166" customFormat="1" ht="15.75" customHeight="1" x14ac:dyDescent="0.2">
      <c r="D282" s="185"/>
      <c r="E282" s="185"/>
      <c r="F282" s="185"/>
      <c r="G282" s="185"/>
      <c r="H282" s="185"/>
      <c r="I282" s="186"/>
    </row>
    <row r="283" spans="4:9" s="166" customFormat="1" ht="15.75" customHeight="1" x14ac:dyDescent="0.2">
      <c r="D283" s="185"/>
      <c r="E283" s="185"/>
      <c r="F283" s="185"/>
      <c r="G283" s="185"/>
      <c r="H283" s="185"/>
      <c r="I283" s="186"/>
    </row>
    <row r="284" spans="4:9" s="166" customFormat="1" ht="15.75" customHeight="1" x14ac:dyDescent="0.2">
      <c r="D284" s="185"/>
      <c r="E284" s="185"/>
      <c r="F284" s="185"/>
      <c r="G284" s="185"/>
      <c r="H284" s="185"/>
      <c r="I284" s="186"/>
    </row>
    <row r="285" spans="4:9" s="166" customFormat="1" ht="15.75" customHeight="1" x14ac:dyDescent="0.2">
      <c r="D285" s="185"/>
      <c r="E285" s="185"/>
      <c r="F285" s="185"/>
      <c r="G285" s="185"/>
      <c r="H285" s="185"/>
      <c r="I285" s="186"/>
    </row>
    <row r="286" spans="4:9" s="166" customFormat="1" ht="15.75" customHeight="1" x14ac:dyDescent="0.2">
      <c r="D286" s="185"/>
      <c r="E286" s="185"/>
      <c r="F286" s="185"/>
      <c r="G286" s="185"/>
      <c r="H286" s="185"/>
      <c r="I286" s="186"/>
    </row>
    <row r="287" spans="4:9" s="166" customFormat="1" ht="15.75" customHeight="1" x14ac:dyDescent="0.2">
      <c r="D287" s="185"/>
      <c r="E287" s="185"/>
      <c r="F287" s="185"/>
      <c r="G287" s="185"/>
      <c r="H287" s="185"/>
      <c r="I287" s="186"/>
    </row>
    <row r="288" spans="4:9" s="166" customFormat="1" ht="15.75" customHeight="1" x14ac:dyDescent="0.2">
      <c r="D288" s="185"/>
      <c r="E288" s="185"/>
      <c r="F288" s="185"/>
      <c r="G288" s="185"/>
      <c r="H288" s="185"/>
      <c r="I288" s="186"/>
    </row>
    <row r="289" spans="4:9" s="166" customFormat="1" ht="15.75" customHeight="1" x14ac:dyDescent="0.2">
      <c r="D289" s="185"/>
      <c r="E289" s="185"/>
      <c r="F289" s="185"/>
      <c r="G289" s="185"/>
      <c r="H289" s="185"/>
      <c r="I289" s="186"/>
    </row>
    <row r="290" spans="4:9" s="166" customFormat="1" ht="15.75" customHeight="1" x14ac:dyDescent="0.2">
      <c r="D290" s="185"/>
      <c r="E290" s="185"/>
      <c r="F290" s="185"/>
      <c r="G290" s="185"/>
      <c r="H290" s="185"/>
      <c r="I290" s="186"/>
    </row>
    <row r="291" spans="4:9" s="166" customFormat="1" ht="15.75" customHeight="1" x14ac:dyDescent="0.2">
      <c r="D291" s="185"/>
      <c r="E291" s="185"/>
      <c r="F291" s="185"/>
      <c r="G291" s="185"/>
      <c r="H291" s="185"/>
      <c r="I291" s="186"/>
    </row>
    <row r="292" spans="4:9" s="166" customFormat="1" ht="15.75" customHeight="1" x14ac:dyDescent="0.2">
      <c r="D292" s="185"/>
      <c r="E292" s="185"/>
      <c r="F292" s="185"/>
      <c r="G292" s="185"/>
      <c r="H292" s="185"/>
      <c r="I292" s="186"/>
    </row>
    <row r="293" spans="4:9" s="166" customFormat="1" ht="15.75" customHeight="1" x14ac:dyDescent="0.2">
      <c r="D293" s="185"/>
      <c r="E293" s="185"/>
      <c r="F293" s="185"/>
      <c r="G293" s="185"/>
      <c r="H293" s="185"/>
      <c r="I293" s="186"/>
    </row>
    <row r="294" spans="4:9" s="166" customFormat="1" ht="15.75" customHeight="1" x14ac:dyDescent="0.2">
      <c r="D294" s="185"/>
      <c r="E294" s="185"/>
      <c r="F294" s="185"/>
      <c r="G294" s="185"/>
      <c r="H294" s="185"/>
      <c r="I294" s="186"/>
    </row>
    <row r="295" spans="4:9" s="166" customFormat="1" ht="15.75" customHeight="1" x14ac:dyDescent="0.2">
      <c r="D295" s="185"/>
      <c r="E295" s="185"/>
      <c r="F295" s="185"/>
      <c r="G295" s="185"/>
      <c r="H295" s="185"/>
      <c r="I295" s="186"/>
    </row>
    <row r="296" spans="4:9" s="166" customFormat="1" ht="15.75" customHeight="1" x14ac:dyDescent="0.2">
      <c r="D296" s="185"/>
      <c r="E296" s="185"/>
      <c r="F296" s="185"/>
      <c r="G296" s="185"/>
      <c r="H296" s="185"/>
      <c r="I296" s="186"/>
    </row>
    <row r="297" spans="4:9" s="166" customFormat="1" ht="15.75" customHeight="1" x14ac:dyDescent="0.2">
      <c r="D297" s="185"/>
      <c r="E297" s="185"/>
      <c r="F297" s="185"/>
      <c r="G297" s="185"/>
      <c r="H297" s="185"/>
      <c r="I297" s="186"/>
    </row>
    <row r="298" spans="4:9" s="166" customFormat="1" ht="15.75" customHeight="1" x14ac:dyDescent="0.2">
      <c r="D298" s="185"/>
      <c r="E298" s="185"/>
      <c r="F298" s="185"/>
      <c r="G298" s="185"/>
      <c r="H298" s="185"/>
      <c r="I298" s="186"/>
    </row>
    <row r="299" spans="4:9" s="166" customFormat="1" ht="15.75" customHeight="1" x14ac:dyDescent="0.2">
      <c r="D299" s="185"/>
      <c r="E299" s="185"/>
      <c r="F299" s="185"/>
      <c r="G299" s="185"/>
      <c r="H299" s="185"/>
      <c r="I299" s="186"/>
    </row>
    <row r="300" spans="4:9" ht="15.75" customHeight="1" x14ac:dyDescent="0.2">
      <c r="D300" s="148"/>
      <c r="E300" s="148"/>
      <c r="F300" s="148"/>
      <c r="G300" s="148"/>
      <c r="H300" s="148"/>
      <c r="I300" s="149"/>
    </row>
    <row r="301" spans="4:9" ht="15.75" customHeight="1" x14ac:dyDescent="0.2">
      <c r="D301" s="148"/>
      <c r="E301" s="148"/>
      <c r="F301" s="148"/>
      <c r="G301" s="148"/>
      <c r="H301" s="148"/>
      <c r="I301" s="149"/>
    </row>
    <row r="302" spans="4:9" ht="15.75" customHeight="1" x14ac:dyDescent="0.2">
      <c r="D302" s="148"/>
      <c r="E302" s="148"/>
      <c r="F302" s="148"/>
      <c r="G302" s="148"/>
      <c r="H302" s="148"/>
      <c r="I302" s="149"/>
    </row>
    <row r="303" spans="4:9" ht="15.75" customHeight="1" x14ac:dyDescent="0.2">
      <c r="D303" s="148"/>
      <c r="E303" s="148"/>
      <c r="F303" s="148"/>
      <c r="G303" s="148"/>
      <c r="H303" s="148"/>
      <c r="I303" s="149"/>
    </row>
    <row r="304" spans="4:9" ht="15.75" customHeight="1" x14ac:dyDescent="0.2">
      <c r="D304" s="148"/>
      <c r="E304" s="148"/>
      <c r="F304" s="148"/>
      <c r="G304" s="148"/>
      <c r="H304" s="148"/>
      <c r="I304" s="149"/>
    </row>
    <row r="305" spans="4:9" ht="15.75" customHeight="1" x14ac:dyDescent="0.2">
      <c r="D305" s="148"/>
      <c r="E305" s="148"/>
      <c r="F305" s="148"/>
      <c r="G305" s="148"/>
      <c r="H305" s="148"/>
      <c r="I305" s="149"/>
    </row>
    <row r="306" spans="4:9" ht="15.75" customHeight="1" x14ac:dyDescent="0.2">
      <c r="D306" s="148"/>
      <c r="E306" s="148"/>
      <c r="F306" s="148"/>
      <c r="G306" s="148"/>
      <c r="H306" s="148"/>
      <c r="I306" s="149"/>
    </row>
    <row r="307" spans="4:9" ht="15.75" customHeight="1" x14ac:dyDescent="0.2">
      <c r="D307" s="148"/>
      <c r="E307" s="148"/>
      <c r="F307" s="148"/>
      <c r="G307" s="148"/>
      <c r="H307" s="148"/>
      <c r="I307" s="148"/>
    </row>
    <row r="308" spans="4:9" ht="15.75" customHeight="1" x14ac:dyDescent="0.2">
      <c r="D308" s="148"/>
      <c r="E308" s="148"/>
      <c r="F308" s="148"/>
      <c r="G308" s="148"/>
      <c r="H308" s="148"/>
      <c r="I308" s="148"/>
    </row>
    <row r="309" spans="4:9" ht="15.75" customHeight="1" x14ac:dyDescent="0.2">
      <c r="D309" s="148"/>
      <c r="E309" s="148"/>
      <c r="F309" s="148"/>
      <c r="G309" s="148"/>
      <c r="H309" s="148"/>
      <c r="I309" s="148"/>
    </row>
    <row r="310" spans="4:9" ht="15.75" customHeight="1" x14ac:dyDescent="0.2">
      <c r="D310" s="148"/>
      <c r="E310" s="148"/>
      <c r="F310" s="148"/>
      <c r="G310" s="148"/>
      <c r="H310" s="148"/>
      <c r="I310" s="148"/>
    </row>
    <row r="311" spans="4:9" ht="15.75" customHeight="1" x14ac:dyDescent="0.2">
      <c r="D311" s="148"/>
      <c r="E311" s="148"/>
      <c r="F311" s="148"/>
      <c r="G311" s="148"/>
      <c r="H311" s="148"/>
      <c r="I311" s="148"/>
    </row>
    <row r="312" spans="4:9" ht="15.75" customHeight="1" x14ac:dyDescent="0.2">
      <c r="D312" s="148"/>
      <c r="E312" s="148"/>
      <c r="F312" s="148"/>
      <c r="G312" s="148"/>
      <c r="H312" s="148"/>
      <c r="I312" s="148"/>
    </row>
    <row r="313" spans="4:9" ht="15.75" customHeight="1" x14ac:dyDescent="0.2">
      <c r="D313" s="148"/>
      <c r="E313" s="148"/>
      <c r="F313" s="148"/>
      <c r="G313" s="148"/>
      <c r="H313" s="148"/>
      <c r="I313" s="148"/>
    </row>
    <row r="314" spans="4:9" ht="15.75" customHeight="1" x14ac:dyDescent="0.2">
      <c r="D314" s="148"/>
      <c r="E314" s="148"/>
      <c r="F314" s="148"/>
      <c r="G314" s="148"/>
      <c r="H314" s="148"/>
      <c r="I314" s="148"/>
    </row>
    <row r="315" spans="4:9" ht="15.75" customHeight="1" x14ac:dyDescent="0.2">
      <c r="D315" s="148"/>
      <c r="E315" s="148"/>
      <c r="F315" s="148"/>
      <c r="G315" s="148"/>
      <c r="H315" s="148"/>
      <c r="I315" s="148"/>
    </row>
    <row r="316" spans="4:9" ht="15.75" customHeight="1" x14ac:dyDescent="0.2">
      <c r="D316" s="148"/>
      <c r="E316" s="148"/>
      <c r="F316" s="148"/>
      <c r="G316" s="148"/>
      <c r="H316" s="148"/>
      <c r="I316" s="148"/>
    </row>
    <row r="317" spans="4:9" ht="15.75" customHeight="1" x14ac:dyDescent="0.2">
      <c r="D317" s="148"/>
      <c r="E317" s="148"/>
      <c r="F317" s="148"/>
      <c r="G317" s="148"/>
      <c r="H317" s="148"/>
      <c r="I317" s="148"/>
    </row>
    <row r="318" spans="4:9" ht="15.75" customHeight="1" x14ac:dyDescent="0.2">
      <c r="D318" s="148"/>
      <c r="E318" s="148"/>
      <c r="F318" s="148"/>
      <c r="G318" s="148"/>
      <c r="H318" s="148"/>
      <c r="I318" s="148"/>
    </row>
    <row r="319" spans="4:9" ht="15.75" customHeight="1" x14ac:dyDescent="0.2">
      <c r="D319" s="148"/>
      <c r="E319" s="148"/>
      <c r="F319" s="148"/>
      <c r="G319" s="148"/>
      <c r="H319" s="148"/>
      <c r="I319" s="148"/>
    </row>
    <row r="320" spans="4:9" ht="15.75" customHeight="1" x14ac:dyDescent="0.2">
      <c r="D320" s="148"/>
      <c r="E320" s="148"/>
      <c r="F320" s="148"/>
      <c r="G320" s="148"/>
      <c r="H320" s="148"/>
      <c r="I320" s="148"/>
    </row>
    <row r="321" spans="4:9" ht="15.75" customHeight="1" x14ac:dyDescent="0.2">
      <c r="D321" s="148"/>
      <c r="E321" s="148"/>
      <c r="F321" s="148"/>
      <c r="G321" s="148"/>
      <c r="H321" s="148"/>
      <c r="I321" s="148"/>
    </row>
    <row r="322" spans="4:9" ht="15.75" customHeight="1" x14ac:dyDescent="0.2">
      <c r="D322" s="148"/>
      <c r="E322" s="148"/>
      <c r="F322" s="148"/>
      <c r="G322" s="148"/>
      <c r="H322" s="148"/>
      <c r="I322" s="148"/>
    </row>
    <row r="323" spans="4:9" ht="15.75" customHeight="1" x14ac:dyDescent="0.2">
      <c r="D323" s="148"/>
      <c r="E323" s="148"/>
      <c r="F323" s="148"/>
      <c r="G323" s="148"/>
      <c r="H323" s="148"/>
      <c r="I323" s="148"/>
    </row>
    <row r="324" spans="4:9" ht="15.75" customHeight="1" x14ac:dyDescent="0.2">
      <c r="D324" s="148"/>
      <c r="E324" s="148"/>
      <c r="F324" s="148"/>
      <c r="G324" s="148"/>
      <c r="H324" s="148"/>
      <c r="I324" s="148"/>
    </row>
    <row r="325" spans="4:9" ht="15.75" customHeight="1" x14ac:dyDescent="0.2">
      <c r="D325" s="148"/>
      <c r="E325" s="148"/>
      <c r="F325" s="148"/>
      <c r="G325" s="148"/>
      <c r="H325" s="148"/>
      <c r="I325" s="148"/>
    </row>
    <row r="326" spans="4:9" ht="15.75" customHeight="1" x14ac:dyDescent="0.2">
      <c r="D326" s="148"/>
      <c r="E326" s="148"/>
      <c r="F326" s="148"/>
      <c r="G326" s="148"/>
      <c r="H326" s="148"/>
      <c r="I326" s="148"/>
    </row>
    <row r="327" spans="4:9" ht="15.75" customHeight="1" x14ac:dyDescent="0.2">
      <c r="D327" s="148"/>
      <c r="E327" s="148"/>
      <c r="F327" s="148"/>
      <c r="G327" s="148"/>
      <c r="H327" s="148"/>
      <c r="I327" s="148"/>
    </row>
    <row r="328" spans="4:9" ht="15.75" customHeight="1" x14ac:dyDescent="0.2">
      <c r="D328" s="148"/>
      <c r="E328" s="148"/>
      <c r="F328" s="148"/>
      <c r="G328" s="148"/>
      <c r="H328" s="148"/>
      <c r="I328" s="148"/>
    </row>
    <row r="329" spans="4:9" ht="15.75" customHeight="1" x14ac:dyDescent="0.2">
      <c r="D329" s="148"/>
      <c r="E329" s="148"/>
      <c r="F329" s="148"/>
      <c r="G329" s="148"/>
      <c r="H329" s="148"/>
      <c r="I329" s="148"/>
    </row>
    <row r="330" spans="4:9" ht="15.75" customHeight="1" x14ac:dyDescent="0.2">
      <c r="D330" s="148"/>
      <c r="E330" s="148"/>
      <c r="F330" s="148"/>
      <c r="G330" s="148"/>
      <c r="H330" s="148"/>
      <c r="I330" s="148"/>
    </row>
    <row r="331" spans="4:9" ht="15.75" customHeight="1" x14ac:dyDescent="0.2">
      <c r="D331" s="148"/>
      <c r="E331" s="148"/>
      <c r="F331" s="148"/>
      <c r="G331" s="148"/>
      <c r="H331" s="148"/>
      <c r="I331" s="148"/>
    </row>
    <row r="332" spans="4:9" ht="15.75" customHeight="1" x14ac:dyDescent="0.2">
      <c r="D332" s="148"/>
      <c r="E332" s="148"/>
      <c r="F332" s="148"/>
      <c r="G332" s="148"/>
      <c r="H332" s="148"/>
      <c r="I332" s="148"/>
    </row>
    <row r="333" spans="4:9" ht="15.75" customHeight="1" x14ac:dyDescent="0.2">
      <c r="D333" s="148"/>
      <c r="E333" s="148"/>
      <c r="F333" s="148"/>
      <c r="G333" s="148"/>
      <c r="H333" s="148"/>
      <c r="I333" s="148"/>
    </row>
    <row r="334" spans="4:9" ht="15.75" customHeight="1" x14ac:dyDescent="0.2">
      <c r="D334" s="148"/>
      <c r="E334" s="148"/>
      <c r="F334" s="148"/>
      <c r="G334" s="148"/>
      <c r="H334" s="148"/>
      <c r="I334" s="148"/>
    </row>
    <row r="335" spans="4:9" ht="15.75" customHeight="1" x14ac:dyDescent="0.2">
      <c r="D335" s="148"/>
      <c r="E335" s="148"/>
      <c r="F335" s="148"/>
      <c r="G335" s="148"/>
      <c r="H335" s="148"/>
      <c r="I335" s="148"/>
    </row>
    <row r="336" spans="4:9" ht="15.75" customHeight="1" x14ac:dyDescent="0.2">
      <c r="D336" s="148"/>
      <c r="E336" s="148"/>
      <c r="F336" s="148"/>
      <c r="G336" s="148"/>
      <c r="H336" s="148"/>
      <c r="I336" s="148"/>
    </row>
    <row r="337" spans="4:9" ht="15.75" customHeight="1" x14ac:dyDescent="0.2">
      <c r="D337" s="148"/>
      <c r="E337" s="148"/>
      <c r="F337" s="148"/>
      <c r="G337" s="148"/>
      <c r="H337" s="148"/>
      <c r="I337" s="148"/>
    </row>
    <row r="338" spans="4:9" ht="15.75" customHeight="1" x14ac:dyDescent="0.2">
      <c r="D338" s="148"/>
      <c r="E338" s="148"/>
      <c r="F338" s="148"/>
      <c r="G338" s="148"/>
      <c r="H338" s="148"/>
      <c r="I338" s="148"/>
    </row>
    <row r="339" spans="4:9" ht="15.75" customHeight="1" x14ac:dyDescent="0.2">
      <c r="D339" s="148"/>
      <c r="E339" s="148"/>
      <c r="F339" s="148"/>
      <c r="G339" s="148"/>
      <c r="H339" s="148"/>
      <c r="I339" s="148"/>
    </row>
    <row r="340" spans="4:9" ht="15.75" customHeight="1" x14ac:dyDescent="0.2">
      <c r="D340" s="148"/>
      <c r="E340" s="148"/>
      <c r="F340" s="148"/>
      <c r="G340" s="148"/>
      <c r="H340" s="148"/>
      <c r="I340" s="148"/>
    </row>
    <row r="341" spans="4:9" ht="15.75" customHeight="1" x14ac:dyDescent="0.2">
      <c r="D341" s="148"/>
      <c r="E341" s="148"/>
      <c r="F341" s="148"/>
      <c r="G341" s="148"/>
      <c r="H341" s="148"/>
      <c r="I341" s="148"/>
    </row>
    <row r="342" spans="4:9" ht="15.75" customHeight="1" x14ac:dyDescent="0.2">
      <c r="D342" s="148"/>
      <c r="E342" s="148"/>
      <c r="F342" s="148"/>
      <c r="G342" s="148"/>
      <c r="H342" s="148"/>
      <c r="I342" s="148"/>
    </row>
    <row r="343" spans="4:9" ht="15.75" customHeight="1" x14ac:dyDescent="0.2">
      <c r="D343" s="148"/>
      <c r="E343" s="148"/>
      <c r="F343" s="148"/>
      <c r="G343" s="148"/>
      <c r="H343" s="148"/>
      <c r="I343" s="148"/>
    </row>
    <row r="344" spans="4:9" ht="15.75" customHeight="1" x14ac:dyDescent="0.2">
      <c r="D344" s="148"/>
      <c r="E344" s="148"/>
      <c r="F344" s="148"/>
      <c r="G344" s="148"/>
      <c r="H344" s="148"/>
      <c r="I344" s="148"/>
    </row>
    <row r="345" spans="4:9" ht="15.75" customHeight="1" x14ac:dyDescent="0.2">
      <c r="D345" s="148"/>
      <c r="E345" s="148"/>
      <c r="F345" s="148"/>
      <c r="G345" s="148"/>
      <c r="H345" s="148"/>
      <c r="I345" s="148"/>
    </row>
    <row r="346" spans="4:9" ht="15.75" customHeight="1" x14ac:dyDescent="0.2">
      <c r="D346" s="148"/>
      <c r="E346" s="148"/>
      <c r="F346" s="148"/>
      <c r="G346" s="148"/>
      <c r="H346" s="148"/>
      <c r="I346" s="148"/>
    </row>
    <row r="347" spans="4:9" ht="15.75" customHeight="1" x14ac:dyDescent="0.2">
      <c r="D347" s="148"/>
      <c r="E347" s="148"/>
      <c r="F347" s="148"/>
      <c r="G347" s="148"/>
      <c r="H347" s="148"/>
      <c r="I347" s="148"/>
    </row>
    <row r="348" spans="4:9" ht="15.75" customHeight="1" x14ac:dyDescent="0.2">
      <c r="D348" s="148"/>
      <c r="E348" s="148"/>
      <c r="F348" s="148"/>
      <c r="G348" s="148"/>
      <c r="H348" s="148"/>
      <c r="I348" s="148"/>
    </row>
    <row r="349" spans="4:9" ht="15.75" customHeight="1" x14ac:dyDescent="0.2">
      <c r="D349" s="148"/>
      <c r="E349" s="148"/>
      <c r="F349" s="148"/>
      <c r="G349" s="148"/>
      <c r="H349" s="148"/>
      <c r="I349" s="148"/>
    </row>
    <row r="350" spans="4:9" ht="15.75" customHeight="1" x14ac:dyDescent="0.2">
      <c r="D350" s="148"/>
      <c r="E350" s="148"/>
      <c r="F350" s="148"/>
      <c r="G350" s="148"/>
      <c r="H350" s="148"/>
      <c r="I350" s="148"/>
    </row>
    <row r="351" spans="4:9" ht="15.75" customHeight="1" x14ac:dyDescent="0.2">
      <c r="D351" s="148"/>
      <c r="E351" s="148"/>
      <c r="F351" s="148"/>
      <c r="G351" s="148"/>
      <c r="H351" s="148"/>
      <c r="I351" s="148"/>
    </row>
    <row r="352" spans="4:9" ht="15.75" customHeight="1" x14ac:dyDescent="0.2">
      <c r="D352" s="148"/>
      <c r="E352" s="148"/>
      <c r="F352" s="148"/>
      <c r="G352" s="148"/>
      <c r="H352" s="148"/>
      <c r="I352" s="148"/>
    </row>
    <row r="353" spans="4:9" ht="15.75" customHeight="1" x14ac:dyDescent="0.2">
      <c r="D353" s="148"/>
      <c r="E353" s="148"/>
      <c r="F353" s="148"/>
      <c r="G353" s="148"/>
      <c r="H353" s="148"/>
      <c r="I353" s="148"/>
    </row>
    <row r="354" spans="4:9" ht="15.75" customHeight="1" x14ac:dyDescent="0.2">
      <c r="D354" s="148"/>
      <c r="E354" s="148"/>
      <c r="F354" s="148"/>
      <c r="G354" s="148"/>
      <c r="H354" s="148"/>
      <c r="I354" s="148"/>
    </row>
    <row r="355" spans="4:9" ht="15.75" customHeight="1" x14ac:dyDescent="0.2">
      <c r="D355" s="148"/>
      <c r="E355" s="148"/>
      <c r="F355" s="148"/>
      <c r="G355" s="148"/>
      <c r="H355" s="148"/>
      <c r="I355" s="148"/>
    </row>
    <row r="356" spans="4:9" ht="15.75" customHeight="1" x14ac:dyDescent="0.2"/>
    <row r="357" spans="4:9" ht="15.75" customHeight="1" x14ac:dyDescent="0.2"/>
    <row r="358" spans="4:9" ht="15.75" customHeight="1" x14ac:dyDescent="0.2"/>
    <row r="359" spans="4:9" ht="15.75" customHeight="1" x14ac:dyDescent="0.2"/>
    <row r="360" spans="4:9" ht="15.75" customHeight="1" x14ac:dyDescent="0.2"/>
    <row r="361" spans="4:9" ht="15.75" customHeight="1" x14ac:dyDescent="0.2"/>
    <row r="362" spans="4:9" ht="15.75" customHeight="1" x14ac:dyDescent="0.2"/>
    <row r="363" spans="4:9" ht="15.75" customHeight="1" x14ac:dyDescent="0.2"/>
    <row r="364" spans="4:9" ht="15.75" customHeight="1" x14ac:dyDescent="0.2"/>
    <row r="365" spans="4:9" ht="15.75" customHeight="1" x14ac:dyDescent="0.2"/>
    <row r="366" spans="4:9" ht="15.75" customHeight="1" x14ac:dyDescent="0.2"/>
    <row r="367" spans="4:9" ht="15.75" customHeight="1" x14ac:dyDescent="0.2"/>
    <row r="368" spans="4:9"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sheetData>
  <protectedRanges>
    <protectedRange password="EBFB" sqref="B186:B192" name="SUPERAVIT"/>
  </protectedRanges>
  <autoFilter ref="A9:O254">
    <filterColumn colId="9" showButton="0"/>
    <filterColumn colId="10" showButton="0"/>
    <filterColumn colId="11" showButton="0"/>
  </autoFilter>
  <mergeCells count="17">
    <mergeCell ref="C9:C10"/>
    <mergeCell ref="D9:D10"/>
    <mergeCell ref="E9:E10"/>
    <mergeCell ref="G9:G10"/>
    <mergeCell ref="A9:A10"/>
    <mergeCell ref="B9:B10"/>
    <mergeCell ref="A2:M2"/>
    <mergeCell ref="A3:M3"/>
    <mergeCell ref="A5:I6"/>
    <mergeCell ref="A7:H7"/>
    <mergeCell ref="A8:E8"/>
    <mergeCell ref="G8:O8"/>
    <mergeCell ref="H9:H10"/>
    <mergeCell ref="I9:I10"/>
    <mergeCell ref="J9:M9"/>
    <mergeCell ref="N9:N10"/>
    <mergeCell ref="O9:O10"/>
  </mergeCells>
  <pageMargins left="0.25" right="0.25"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allowBlank="1" showErrorMessage="1">
          <x14:formula1>
            <xm:f>'4_OyA Transferencias Gob Cent'!$R$117:$R$126</xm:f>
          </x14:formula1>
          <xm:sqref>H11:H254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showGridLines="0" topLeftCell="B1" zoomScale="80" zoomScaleNormal="80" workbookViewId="0">
      <pane ySplit="9" topLeftCell="A10" activePane="bottomLeft" state="frozen"/>
      <selection pane="bottomLeft" activeCell="E24" sqref="E24"/>
    </sheetView>
  </sheetViews>
  <sheetFormatPr baseColWidth="10" defaultColWidth="14.42578125" defaultRowHeight="15" customHeight="1" x14ac:dyDescent="0.2"/>
  <cols>
    <col min="1" max="1" width="1.5703125" customWidth="1"/>
    <col min="2" max="2" width="16.42578125" customWidth="1"/>
    <col min="3" max="3" width="17.5703125" customWidth="1"/>
    <col min="4" max="4" width="35.5703125" customWidth="1"/>
    <col min="5" max="5" width="16.28515625" customWidth="1"/>
    <col min="6" max="7" width="18.7109375" customWidth="1"/>
    <col min="8" max="8" width="18.85546875" customWidth="1"/>
    <col min="9" max="9" width="16.7109375" customWidth="1"/>
    <col min="10" max="10" width="19.85546875" customWidth="1"/>
    <col min="11" max="11" width="18.85546875" customWidth="1"/>
    <col min="12" max="14" width="18.7109375" customWidth="1"/>
    <col min="15" max="15" width="39.28515625" customWidth="1"/>
    <col min="16" max="26" width="10.7109375" customWidth="1"/>
  </cols>
  <sheetData>
    <row r="1" spans="1:26" ht="15.75" x14ac:dyDescent="0.25">
      <c r="B1" s="247" t="s">
        <v>443</v>
      </c>
      <c r="C1" s="219"/>
      <c r="D1" s="219"/>
      <c r="E1" s="219"/>
      <c r="F1" s="219"/>
      <c r="G1" s="219"/>
      <c r="H1" s="219"/>
      <c r="I1" s="219"/>
      <c r="J1" s="219"/>
      <c r="K1" s="219"/>
      <c r="L1" s="219"/>
      <c r="M1" s="219"/>
      <c r="R1" s="74"/>
    </row>
    <row r="2" spans="1:26" ht="15.75" x14ac:dyDescent="0.25">
      <c r="B2" s="248" t="s">
        <v>57</v>
      </c>
      <c r="C2" s="219"/>
      <c r="D2" s="219"/>
      <c r="E2" s="219"/>
      <c r="F2" s="219"/>
      <c r="G2" s="219"/>
      <c r="H2" s="219"/>
      <c r="I2" s="219"/>
      <c r="J2" s="219"/>
      <c r="K2" s="219"/>
      <c r="L2" s="219"/>
      <c r="M2" s="219"/>
      <c r="R2" s="74"/>
    </row>
    <row r="3" spans="1:26" ht="15.75" x14ac:dyDescent="0.25">
      <c r="B3" s="248" t="s">
        <v>58</v>
      </c>
      <c r="C3" s="219"/>
      <c r="D3" s="219"/>
      <c r="E3" s="219"/>
      <c r="F3" s="219"/>
      <c r="G3" s="219"/>
      <c r="H3" s="219"/>
      <c r="I3" s="219"/>
      <c r="J3" s="219"/>
      <c r="K3" s="219"/>
      <c r="L3" s="219"/>
      <c r="M3" s="219"/>
      <c r="R3" s="74"/>
    </row>
    <row r="4" spans="1:26" ht="7.5" customHeight="1" x14ac:dyDescent="0.25">
      <c r="B4" s="73"/>
      <c r="C4" s="73"/>
      <c r="D4" s="73"/>
      <c r="E4" s="73"/>
      <c r="F4" s="73"/>
      <c r="G4" s="73"/>
      <c r="H4" s="73"/>
      <c r="I4" s="73"/>
      <c r="J4" s="73"/>
      <c r="K4" s="73"/>
      <c r="L4" s="73"/>
      <c r="M4" s="73"/>
      <c r="R4" s="74"/>
    </row>
    <row r="5" spans="1:26" ht="24" customHeight="1" x14ac:dyDescent="0.25">
      <c r="A5" s="75"/>
      <c r="B5" s="249" t="s">
        <v>59</v>
      </c>
      <c r="C5" s="250"/>
      <c r="D5" s="250"/>
      <c r="E5" s="250"/>
      <c r="F5" s="250"/>
      <c r="G5" s="250"/>
      <c r="H5" s="250"/>
      <c r="I5" s="250"/>
      <c r="J5" s="250"/>
      <c r="K5" s="250"/>
      <c r="L5" s="250"/>
      <c r="M5" s="250"/>
      <c r="N5" s="250"/>
      <c r="O5" s="250"/>
      <c r="P5" s="75"/>
      <c r="Q5" s="75"/>
      <c r="R5" s="74"/>
      <c r="S5" s="75"/>
      <c r="T5" s="75"/>
      <c r="U5" s="75"/>
      <c r="V5" s="75"/>
      <c r="W5" s="75"/>
      <c r="X5" s="75"/>
      <c r="Y5" s="75"/>
      <c r="Z5" s="75"/>
    </row>
    <row r="6" spans="1:26" ht="6.75" customHeight="1" x14ac:dyDescent="0.25">
      <c r="B6" s="76"/>
      <c r="C6" s="76"/>
      <c r="D6" s="76"/>
      <c r="E6" s="76"/>
      <c r="F6" s="77"/>
      <c r="G6" s="77"/>
      <c r="H6" s="77"/>
      <c r="I6" s="77"/>
      <c r="J6" s="78"/>
      <c r="K6" s="78"/>
      <c r="L6" s="78"/>
      <c r="M6" s="78"/>
      <c r="R6" s="74"/>
    </row>
    <row r="7" spans="1:26" ht="15.75" x14ac:dyDescent="0.25">
      <c r="B7" s="238" t="s">
        <v>39</v>
      </c>
      <c r="C7" s="239"/>
      <c r="D7" s="239"/>
      <c r="E7" s="239"/>
      <c r="F7" s="239"/>
      <c r="G7" s="239"/>
      <c r="H7" s="240"/>
      <c r="I7" s="238" t="s">
        <v>40</v>
      </c>
      <c r="J7" s="239"/>
      <c r="K7" s="239"/>
      <c r="L7" s="239"/>
      <c r="M7" s="239"/>
      <c r="N7" s="239"/>
      <c r="O7" s="240"/>
      <c r="R7" s="74"/>
    </row>
    <row r="8" spans="1:26" ht="15" customHeight="1" x14ac:dyDescent="0.25">
      <c r="B8" s="252" t="s">
        <v>60</v>
      </c>
      <c r="C8" s="251" t="s">
        <v>61</v>
      </c>
      <c r="D8" s="251" t="s">
        <v>62</v>
      </c>
      <c r="E8" s="245" t="s">
        <v>63</v>
      </c>
      <c r="F8" s="245" t="s">
        <v>64</v>
      </c>
      <c r="G8" s="245" t="s">
        <v>44</v>
      </c>
      <c r="H8" s="245" t="s">
        <v>65</v>
      </c>
      <c r="I8" s="79"/>
      <c r="J8" s="79"/>
      <c r="K8" s="246" t="s">
        <v>66</v>
      </c>
      <c r="L8" s="240"/>
      <c r="M8" s="232" t="s">
        <v>67</v>
      </c>
      <c r="N8" s="232" t="s">
        <v>50</v>
      </c>
      <c r="O8" s="232" t="s">
        <v>51</v>
      </c>
      <c r="R8" s="74"/>
    </row>
    <row r="9" spans="1:26" ht="44.25" customHeight="1" x14ac:dyDescent="0.25">
      <c r="B9" s="233"/>
      <c r="C9" s="233"/>
      <c r="D9" s="233"/>
      <c r="E9" s="233"/>
      <c r="F9" s="233"/>
      <c r="G9" s="233"/>
      <c r="H9" s="233"/>
      <c r="I9" s="80" t="s">
        <v>68</v>
      </c>
      <c r="J9" s="81" t="s">
        <v>69</v>
      </c>
      <c r="K9" s="82" t="s">
        <v>70</v>
      </c>
      <c r="L9" s="82" t="s">
        <v>71</v>
      </c>
      <c r="M9" s="233"/>
      <c r="N9" s="233"/>
      <c r="O9" s="233"/>
      <c r="R9" s="74" t="s">
        <v>72</v>
      </c>
    </row>
    <row r="10" spans="1:26" ht="25.5" x14ac:dyDescent="0.25">
      <c r="B10" s="83" t="s">
        <v>74</v>
      </c>
      <c r="C10" s="83" t="s">
        <v>88</v>
      </c>
      <c r="D10" s="83" t="s">
        <v>454</v>
      </c>
      <c r="E10" s="84" t="s">
        <v>78</v>
      </c>
      <c r="F10" s="85">
        <v>1453653482</v>
      </c>
      <c r="G10" s="85">
        <v>1453653482</v>
      </c>
      <c r="H10" s="85">
        <v>1453653482</v>
      </c>
      <c r="I10" s="205" t="s">
        <v>455</v>
      </c>
      <c r="J10" s="68" t="s">
        <v>154</v>
      </c>
      <c r="K10" s="87"/>
      <c r="L10" s="85">
        <v>186496063</v>
      </c>
      <c r="M10" s="87">
        <f>+K10+L10</f>
        <v>186496063</v>
      </c>
      <c r="N10" s="89"/>
      <c r="O10" s="90"/>
      <c r="R10" s="74"/>
      <c r="S10" s="91"/>
    </row>
    <row r="11" spans="1:26" x14ac:dyDescent="0.25">
      <c r="B11" s="83"/>
      <c r="C11" s="83"/>
      <c r="D11" s="83"/>
      <c r="E11" s="84"/>
      <c r="F11" s="85"/>
      <c r="G11" s="85"/>
      <c r="H11" s="85"/>
      <c r="I11" s="86"/>
      <c r="J11" s="68" t="s">
        <v>155</v>
      </c>
      <c r="K11" s="87"/>
      <c r="L11" s="85">
        <v>106893500.14</v>
      </c>
      <c r="M11" s="87">
        <f t="shared" ref="M11:M14" si="0">+K11+L11</f>
        <v>106893500.14</v>
      </c>
      <c r="N11" s="89"/>
      <c r="O11" s="90"/>
      <c r="R11" s="92"/>
      <c r="S11" s="91"/>
    </row>
    <row r="12" spans="1:26" ht="25.5" x14ac:dyDescent="0.25">
      <c r="B12" s="83"/>
      <c r="C12" s="83"/>
      <c r="D12" s="83"/>
      <c r="E12" s="84"/>
      <c r="F12" s="85"/>
      <c r="G12" s="85"/>
      <c r="H12" s="85"/>
      <c r="I12" s="86"/>
      <c r="J12" s="68" t="s">
        <v>156</v>
      </c>
      <c r="K12" s="87"/>
      <c r="L12" s="85">
        <v>103896811.27</v>
      </c>
      <c r="M12" s="87">
        <f t="shared" si="0"/>
        <v>103896811.27</v>
      </c>
      <c r="N12" s="89"/>
      <c r="O12" s="90"/>
      <c r="R12" s="92" t="s">
        <v>75</v>
      </c>
      <c r="S12" s="93" t="s">
        <v>76</v>
      </c>
    </row>
    <row r="13" spans="1:26" x14ac:dyDescent="0.25">
      <c r="B13" s="83"/>
      <c r="C13" s="83"/>
      <c r="D13" s="83"/>
      <c r="E13" s="84"/>
      <c r="F13" s="85"/>
      <c r="G13" s="85"/>
      <c r="H13" s="85"/>
      <c r="I13" s="86"/>
      <c r="J13" s="68" t="s">
        <v>159</v>
      </c>
      <c r="K13" s="87"/>
      <c r="L13" s="85">
        <v>892678434.85000002</v>
      </c>
      <c r="M13" s="87">
        <f t="shared" si="0"/>
        <v>892678434.85000002</v>
      </c>
      <c r="N13" s="89"/>
      <c r="O13" s="90"/>
      <c r="R13" s="92" t="s">
        <v>77</v>
      </c>
      <c r="S13" s="93" t="s">
        <v>78</v>
      </c>
    </row>
    <row r="14" spans="1:26" ht="25.5" x14ac:dyDescent="0.25">
      <c r="B14" s="83"/>
      <c r="C14" s="83"/>
      <c r="D14" s="83"/>
      <c r="E14" s="84"/>
      <c r="F14" s="85"/>
      <c r="G14" s="85"/>
      <c r="H14" s="85"/>
      <c r="I14" s="86"/>
      <c r="J14" s="68" t="s">
        <v>160</v>
      </c>
      <c r="K14" s="87">
        <v>19546.62</v>
      </c>
      <c r="L14" s="85"/>
      <c r="M14" s="87">
        <f t="shared" si="0"/>
        <v>19546.62</v>
      </c>
      <c r="N14" s="89"/>
      <c r="O14" s="90"/>
      <c r="R14" s="92" t="s">
        <v>79</v>
      </c>
      <c r="S14" s="91"/>
    </row>
    <row r="15" spans="1:26" x14ac:dyDescent="0.25">
      <c r="B15" s="83"/>
      <c r="C15" s="83"/>
      <c r="D15" s="83"/>
      <c r="E15" s="84"/>
      <c r="F15" s="85"/>
      <c r="G15" s="85"/>
      <c r="H15" s="85"/>
      <c r="I15" s="86"/>
      <c r="J15" s="157"/>
      <c r="K15" s="206">
        <f>SUM(K10:K14)</f>
        <v>19546.62</v>
      </c>
      <c r="L15" s="206">
        <f>SUM(L10:L14)</f>
        <v>1289964809.26</v>
      </c>
      <c r="M15" s="206">
        <f>+K15+L15</f>
        <v>1289984355.8799999</v>
      </c>
      <c r="N15" s="207">
        <f>+H10-M15</f>
        <v>163669126.12000012</v>
      </c>
      <c r="O15" s="208" t="s">
        <v>456</v>
      </c>
      <c r="R15" s="92" t="s">
        <v>80</v>
      </c>
    </row>
    <row r="16" spans="1:26" ht="38.25" x14ac:dyDescent="0.25">
      <c r="B16" s="83" t="s">
        <v>74</v>
      </c>
      <c r="C16" s="83" t="s">
        <v>87</v>
      </c>
      <c r="D16" s="83" t="s">
        <v>457</v>
      </c>
      <c r="E16" s="84" t="s">
        <v>78</v>
      </c>
      <c r="F16" s="85">
        <v>37333353</v>
      </c>
      <c r="G16" s="85">
        <f>+F16</f>
        <v>37333353</v>
      </c>
      <c r="H16" s="85">
        <f>+G16</f>
        <v>37333353</v>
      </c>
      <c r="I16" s="205" t="s">
        <v>455</v>
      </c>
      <c r="J16" s="68" t="s">
        <v>155</v>
      </c>
      <c r="K16" s="87"/>
      <c r="L16" s="87">
        <v>8983353</v>
      </c>
      <c r="M16" s="87">
        <v>0</v>
      </c>
      <c r="N16" s="89"/>
      <c r="O16" s="90"/>
      <c r="R16" s="92" t="s">
        <v>81</v>
      </c>
    </row>
    <row r="17" spans="2:18" ht="25.5" x14ac:dyDescent="0.25">
      <c r="B17" s="83"/>
      <c r="C17" s="83"/>
      <c r="D17" s="83"/>
      <c r="E17" s="84"/>
      <c r="F17" s="85"/>
      <c r="G17" s="85"/>
      <c r="H17" s="85"/>
      <c r="I17" s="86"/>
      <c r="J17" s="68" t="s">
        <v>156</v>
      </c>
      <c r="K17" s="87"/>
      <c r="L17" s="87">
        <v>3350000</v>
      </c>
      <c r="M17" s="87">
        <v>0</v>
      </c>
      <c r="N17" s="89"/>
      <c r="O17" s="90"/>
      <c r="R17" s="92" t="s">
        <v>82</v>
      </c>
    </row>
    <row r="18" spans="2:18" x14ac:dyDescent="0.25">
      <c r="B18" s="83"/>
      <c r="C18" s="83"/>
      <c r="D18" s="83"/>
      <c r="E18" s="84"/>
      <c r="F18" s="85"/>
      <c r="G18" s="85"/>
      <c r="H18" s="85"/>
      <c r="I18" s="86"/>
      <c r="J18" s="68" t="s">
        <v>159</v>
      </c>
      <c r="K18" s="87"/>
      <c r="L18" s="87">
        <v>25000000</v>
      </c>
      <c r="M18" s="87">
        <v>0</v>
      </c>
      <c r="N18" s="89"/>
      <c r="O18" s="90"/>
      <c r="R18" s="92" t="s">
        <v>83</v>
      </c>
    </row>
    <row r="19" spans="2:18" ht="15.75" customHeight="1" x14ac:dyDescent="0.25">
      <c r="B19" s="83"/>
      <c r="C19" s="83"/>
      <c r="D19" s="83"/>
      <c r="E19" s="84"/>
      <c r="F19" s="85"/>
      <c r="G19" s="85"/>
      <c r="H19" s="85"/>
      <c r="I19" s="86"/>
      <c r="J19" s="157"/>
      <c r="K19" s="206"/>
      <c r="L19" s="209"/>
      <c r="M19" s="206"/>
      <c r="N19" s="207">
        <f>+H16-L19</f>
        <v>37333353</v>
      </c>
      <c r="O19" s="208" t="s">
        <v>456</v>
      </c>
      <c r="R19" s="92" t="s">
        <v>84</v>
      </c>
    </row>
    <row r="20" spans="2:18" ht="15.75" customHeight="1" x14ac:dyDescent="0.25">
      <c r="B20" s="83"/>
      <c r="C20" s="83"/>
      <c r="D20" s="83"/>
      <c r="E20" s="84"/>
      <c r="F20" s="85"/>
      <c r="G20" s="85"/>
      <c r="H20" s="85"/>
      <c r="I20" s="86"/>
      <c r="J20" s="68"/>
      <c r="K20" s="87"/>
      <c r="L20" s="88"/>
      <c r="M20" s="87"/>
      <c r="N20" s="89"/>
      <c r="O20" s="90"/>
      <c r="R20" s="92" t="s">
        <v>85</v>
      </c>
    </row>
    <row r="21" spans="2:18" ht="15.75" customHeight="1" x14ac:dyDescent="0.25">
      <c r="B21" s="83"/>
      <c r="C21" s="83"/>
      <c r="D21" s="83"/>
      <c r="E21" s="84"/>
      <c r="F21" s="85"/>
      <c r="G21" s="85"/>
      <c r="H21" s="85"/>
      <c r="I21" s="86"/>
      <c r="J21" s="68"/>
      <c r="K21" s="87"/>
      <c r="L21" s="88"/>
      <c r="M21" s="87"/>
      <c r="N21" s="89"/>
      <c r="O21" s="90"/>
      <c r="R21" s="92" t="s">
        <v>86</v>
      </c>
    </row>
    <row r="22" spans="2:18" ht="15.75" customHeight="1" x14ac:dyDescent="0.25">
      <c r="B22" s="83"/>
      <c r="C22" s="83"/>
      <c r="D22" s="83"/>
      <c r="E22" s="84"/>
      <c r="F22" s="85"/>
      <c r="G22" s="85"/>
      <c r="H22" s="85"/>
      <c r="I22" s="86"/>
      <c r="J22" s="68"/>
      <c r="K22" s="87"/>
      <c r="L22" s="88"/>
      <c r="M22" s="87"/>
      <c r="N22" s="89"/>
      <c r="O22" s="90"/>
      <c r="R22" s="92" t="s">
        <v>87</v>
      </c>
    </row>
    <row r="23" spans="2:18" ht="15.75" customHeight="1" x14ac:dyDescent="0.25">
      <c r="B23" s="83"/>
      <c r="C23" s="83"/>
      <c r="D23" s="83"/>
      <c r="E23" s="84"/>
      <c r="F23" s="85"/>
      <c r="G23" s="85"/>
      <c r="H23" s="85"/>
      <c r="I23" s="86"/>
      <c r="J23" s="68"/>
      <c r="K23" s="87"/>
      <c r="L23" s="88"/>
      <c r="M23" s="87"/>
      <c r="N23" s="89"/>
      <c r="O23" s="90"/>
      <c r="R23" s="92" t="s">
        <v>88</v>
      </c>
    </row>
    <row r="24" spans="2:18" ht="15.75" customHeight="1" x14ac:dyDescent="0.25">
      <c r="B24" s="83"/>
      <c r="C24" s="83"/>
      <c r="D24" s="83"/>
      <c r="E24" s="84"/>
      <c r="F24" s="85"/>
      <c r="G24" s="85"/>
      <c r="H24" s="85"/>
      <c r="I24" s="86"/>
      <c r="J24" s="68"/>
      <c r="K24" s="87"/>
      <c r="L24" s="88"/>
      <c r="M24" s="87"/>
      <c r="N24" s="89"/>
      <c r="O24" s="90"/>
      <c r="R24" s="92" t="s">
        <v>89</v>
      </c>
    </row>
    <row r="25" spans="2:18" ht="15.75" customHeight="1" x14ac:dyDescent="0.25">
      <c r="B25" s="83"/>
      <c r="C25" s="83"/>
      <c r="D25" s="83"/>
      <c r="E25" s="84"/>
      <c r="F25" s="85"/>
      <c r="G25" s="85"/>
      <c r="H25" s="85"/>
      <c r="I25" s="86"/>
      <c r="J25" s="68"/>
      <c r="K25" s="87"/>
      <c r="L25" s="88"/>
      <c r="M25" s="87"/>
      <c r="N25" s="89"/>
      <c r="O25" s="90"/>
      <c r="R25" s="92" t="s">
        <v>90</v>
      </c>
    </row>
    <row r="26" spans="2:18" ht="15.75" customHeight="1" x14ac:dyDescent="0.25">
      <c r="B26" s="83"/>
      <c r="C26" s="83"/>
      <c r="D26" s="83"/>
      <c r="E26" s="84"/>
      <c r="F26" s="85"/>
      <c r="G26" s="85"/>
      <c r="H26" s="85"/>
      <c r="I26" s="86"/>
      <c r="J26" s="68"/>
      <c r="K26" s="87"/>
      <c r="L26" s="88"/>
      <c r="M26" s="87"/>
      <c r="N26" s="89"/>
      <c r="O26" s="90"/>
      <c r="R26" s="92" t="s">
        <v>91</v>
      </c>
    </row>
    <row r="27" spans="2:18" ht="15.75" customHeight="1" x14ac:dyDescent="0.25">
      <c r="B27" s="83"/>
      <c r="C27" s="83"/>
      <c r="D27" s="83"/>
      <c r="E27" s="84"/>
      <c r="F27" s="85"/>
      <c r="G27" s="85"/>
      <c r="H27" s="85"/>
      <c r="I27" s="86"/>
      <c r="J27" s="68"/>
      <c r="K27" s="87"/>
      <c r="L27" s="88"/>
      <c r="M27" s="87"/>
      <c r="N27" s="89"/>
      <c r="O27" s="90"/>
      <c r="R27" s="92" t="s">
        <v>92</v>
      </c>
    </row>
    <row r="28" spans="2:18" ht="15.75" customHeight="1" x14ac:dyDescent="0.25">
      <c r="B28" s="83"/>
      <c r="C28" s="83"/>
      <c r="D28" s="83"/>
      <c r="E28" s="84"/>
      <c r="F28" s="85"/>
      <c r="G28" s="85"/>
      <c r="H28" s="85"/>
      <c r="I28" s="86"/>
      <c r="J28" s="68"/>
      <c r="K28" s="87"/>
      <c r="L28" s="88"/>
      <c r="M28" s="87"/>
      <c r="N28" s="89"/>
      <c r="O28" s="90"/>
      <c r="R28" s="92" t="s">
        <v>93</v>
      </c>
    </row>
    <row r="29" spans="2:18" ht="15.75" customHeight="1" x14ac:dyDescent="0.25">
      <c r="B29" s="83"/>
      <c r="C29" s="83"/>
      <c r="D29" s="83"/>
      <c r="E29" s="84"/>
      <c r="F29" s="85"/>
      <c r="G29" s="85"/>
      <c r="H29" s="85"/>
      <c r="I29" s="86"/>
      <c r="J29" s="68"/>
      <c r="K29" s="87"/>
      <c r="L29" s="88"/>
      <c r="M29" s="87"/>
      <c r="N29" s="89"/>
      <c r="O29" s="90"/>
      <c r="R29" s="92" t="s">
        <v>94</v>
      </c>
    </row>
    <row r="30" spans="2:18" ht="15.75" customHeight="1" x14ac:dyDescent="0.25">
      <c r="B30" s="83"/>
      <c r="C30" s="83"/>
      <c r="D30" s="83"/>
      <c r="E30" s="84"/>
      <c r="F30" s="85"/>
      <c r="G30" s="85"/>
      <c r="H30" s="85"/>
      <c r="I30" s="86"/>
      <c r="J30" s="68"/>
      <c r="K30" s="87"/>
      <c r="L30" s="88"/>
      <c r="M30" s="87"/>
      <c r="N30" s="89"/>
      <c r="O30" s="90"/>
      <c r="R30" s="92" t="s">
        <v>95</v>
      </c>
    </row>
    <row r="31" spans="2:18" ht="15.75" customHeight="1" x14ac:dyDescent="0.25">
      <c r="B31" s="83"/>
      <c r="C31" s="83"/>
      <c r="D31" s="83"/>
      <c r="E31" s="84"/>
      <c r="F31" s="85"/>
      <c r="G31" s="85"/>
      <c r="H31" s="85"/>
      <c r="I31" s="86"/>
      <c r="J31" s="68"/>
      <c r="K31" s="87"/>
      <c r="L31" s="88"/>
      <c r="M31" s="87"/>
      <c r="N31" s="89"/>
      <c r="O31" s="90"/>
      <c r="R31" s="92" t="s">
        <v>96</v>
      </c>
    </row>
    <row r="32" spans="2:18" ht="15.75" customHeight="1" x14ac:dyDescent="0.25">
      <c r="B32" s="83"/>
      <c r="C32" s="83"/>
      <c r="D32" s="83"/>
      <c r="E32" s="84"/>
      <c r="F32" s="85"/>
      <c r="G32" s="85"/>
      <c r="H32" s="85"/>
      <c r="I32" s="86"/>
      <c r="J32" s="68"/>
      <c r="K32" s="87"/>
      <c r="L32" s="88"/>
      <c r="M32" s="87"/>
      <c r="N32" s="89"/>
      <c r="O32" s="90"/>
      <c r="R32" s="92" t="s">
        <v>97</v>
      </c>
    </row>
    <row r="33" spans="2:18" ht="15.75" customHeight="1" x14ac:dyDescent="0.25">
      <c r="B33" s="83"/>
      <c r="C33" s="83"/>
      <c r="D33" s="83"/>
      <c r="E33" s="84"/>
      <c r="F33" s="85"/>
      <c r="G33" s="85"/>
      <c r="H33" s="85"/>
      <c r="I33" s="86"/>
      <c r="J33" s="68"/>
      <c r="K33" s="87"/>
      <c r="L33" s="88"/>
      <c r="M33" s="87"/>
      <c r="N33" s="89"/>
      <c r="O33" s="90"/>
      <c r="R33" s="92" t="s">
        <v>98</v>
      </c>
    </row>
    <row r="34" spans="2:18" ht="15.75" customHeight="1" x14ac:dyDescent="0.25">
      <c r="B34" s="83"/>
      <c r="C34" s="83"/>
      <c r="D34" s="83"/>
      <c r="E34" s="84"/>
      <c r="F34" s="85"/>
      <c r="G34" s="85"/>
      <c r="H34" s="85"/>
      <c r="I34" s="86"/>
      <c r="J34" s="68"/>
      <c r="K34" s="87"/>
      <c r="L34" s="88"/>
      <c r="M34" s="87"/>
      <c r="N34" s="89"/>
      <c r="O34" s="90"/>
      <c r="R34" s="92" t="s">
        <v>99</v>
      </c>
    </row>
    <row r="35" spans="2:18" ht="15.75" customHeight="1" x14ac:dyDescent="0.25">
      <c r="B35" s="83"/>
      <c r="C35" s="83"/>
      <c r="D35" s="83"/>
      <c r="E35" s="84"/>
      <c r="F35" s="85"/>
      <c r="G35" s="85"/>
      <c r="H35" s="85"/>
      <c r="I35" s="86"/>
      <c r="J35" s="68"/>
      <c r="K35" s="87"/>
      <c r="L35" s="88"/>
      <c r="M35" s="87"/>
      <c r="N35" s="89"/>
      <c r="O35" s="90"/>
      <c r="R35" s="92" t="s">
        <v>100</v>
      </c>
    </row>
    <row r="36" spans="2:18" ht="15.75" customHeight="1" x14ac:dyDescent="0.25">
      <c r="B36" s="83"/>
      <c r="C36" s="83"/>
      <c r="D36" s="83"/>
      <c r="E36" s="84"/>
      <c r="F36" s="85"/>
      <c r="G36" s="85"/>
      <c r="H36" s="85"/>
      <c r="I36" s="86"/>
      <c r="J36" s="68"/>
      <c r="K36" s="87"/>
      <c r="L36" s="88"/>
      <c r="M36" s="87"/>
      <c r="N36" s="89"/>
      <c r="O36" s="90"/>
      <c r="R36" s="92" t="s">
        <v>101</v>
      </c>
    </row>
    <row r="37" spans="2:18" ht="15.75" customHeight="1" x14ac:dyDescent="0.25">
      <c r="B37" s="83"/>
      <c r="C37" s="83"/>
      <c r="D37" s="83"/>
      <c r="E37" s="84"/>
      <c r="F37" s="85"/>
      <c r="G37" s="85"/>
      <c r="H37" s="85"/>
      <c r="I37" s="86"/>
      <c r="J37" s="68"/>
      <c r="K37" s="87"/>
      <c r="L37" s="88"/>
      <c r="M37" s="87"/>
      <c r="N37" s="89"/>
      <c r="O37" s="90"/>
      <c r="R37" s="92" t="s">
        <v>102</v>
      </c>
    </row>
    <row r="38" spans="2:18" ht="15.75" customHeight="1" x14ac:dyDescent="0.25">
      <c r="B38" s="83"/>
      <c r="C38" s="83"/>
      <c r="D38" s="83"/>
      <c r="E38" s="84"/>
      <c r="F38" s="85"/>
      <c r="G38" s="85"/>
      <c r="H38" s="85"/>
      <c r="I38" s="86"/>
      <c r="J38" s="68"/>
      <c r="K38" s="87"/>
      <c r="L38" s="88"/>
      <c r="M38" s="87"/>
      <c r="N38" s="89"/>
      <c r="O38" s="90"/>
      <c r="R38" s="92" t="s">
        <v>103</v>
      </c>
    </row>
    <row r="39" spans="2:18" ht="15.75" customHeight="1" x14ac:dyDescent="0.25">
      <c r="B39" s="83"/>
      <c r="C39" s="83"/>
      <c r="D39" s="83"/>
      <c r="E39" s="84"/>
      <c r="F39" s="85"/>
      <c r="G39" s="85"/>
      <c r="H39" s="85"/>
      <c r="I39" s="86"/>
      <c r="J39" s="68"/>
      <c r="K39" s="87"/>
      <c r="L39" s="88"/>
      <c r="M39" s="87"/>
      <c r="N39" s="89"/>
      <c r="O39" s="90"/>
      <c r="R39" s="92" t="s">
        <v>104</v>
      </c>
    </row>
    <row r="40" spans="2:18" ht="15.75" customHeight="1" x14ac:dyDescent="0.25">
      <c r="B40" s="83"/>
      <c r="C40" s="83"/>
      <c r="D40" s="83"/>
      <c r="E40" s="84"/>
      <c r="F40" s="85"/>
      <c r="G40" s="85"/>
      <c r="H40" s="85"/>
      <c r="I40" s="86"/>
      <c r="J40" s="68"/>
      <c r="K40" s="87"/>
      <c r="L40" s="88"/>
      <c r="M40" s="87"/>
      <c r="N40" s="89"/>
      <c r="O40" s="90"/>
      <c r="R40" s="92" t="s">
        <v>105</v>
      </c>
    </row>
    <row r="41" spans="2:18" ht="15.75" customHeight="1" x14ac:dyDescent="0.25">
      <c r="B41" s="83"/>
      <c r="C41" s="83"/>
      <c r="D41" s="83"/>
      <c r="E41" s="84"/>
      <c r="F41" s="85"/>
      <c r="G41" s="85"/>
      <c r="H41" s="85"/>
      <c r="I41" s="86"/>
      <c r="J41" s="68"/>
      <c r="K41" s="87"/>
      <c r="L41" s="88"/>
      <c r="M41" s="87"/>
      <c r="N41" s="89"/>
      <c r="O41" s="90"/>
      <c r="R41" s="92" t="s">
        <v>106</v>
      </c>
    </row>
    <row r="42" spans="2:18" ht="15.75" customHeight="1" x14ac:dyDescent="0.25">
      <c r="B42" s="83"/>
      <c r="C42" s="83"/>
      <c r="D42" s="83"/>
      <c r="E42" s="84"/>
      <c r="F42" s="85"/>
      <c r="G42" s="85"/>
      <c r="H42" s="85"/>
      <c r="I42" s="86"/>
      <c r="J42" s="68"/>
      <c r="K42" s="87"/>
      <c r="L42" s="88"/>
      <c r="M42" s="87"/>
      <c r="N42" s="89"/>
      <c r="O42" s="90"/>
      <c r="R42" s="92" t="s">
        <v>107</v>
      </c>
    </row>
    <row r="43" spans="2:18" ht="15.75" customHeight="1" x14ac:dyDescent="0.25">
      <c r="B43" s="83"/>
      <c r="C43" s="83"/>
      <c r="D43" s="83"/>
      <c r="E43" s="84"/>
      <c r="F43" s="85"/>
      <c r="G43" s="85"/>
      <c r="H43" s="85"/>
      <c r="I43" s="86"/>
      <c r="J43" s="68"/>
      <c r="K43" s="87"/>
      <c r="L43" s="88"/>
      <c r="M43" s="87"/>
      <c r="N43" s="89"/>
      <c r="O43" s="90"/>
      <c r="R43" s="92" t="s">
        <v>108</v>
      </c>
    </row>
    <row r="44" spans="2:18" ht="15.75" customHeight="1" x14ac:dyDescent="0.25">
      <c r="B44" s="83"/>
      <c r="C44" s="83"/>
      <c r="D44" s="83"/>
      <c r="E44" s="84"/>
      <c r="F44" s="85"/>
      <c r="G44" s="85"/>
      <c r="H44" s="85"/>
      <c r="I44" s="86"/>
      <c r="J44" s="68"/>
      <c r="K44" s="87"/>
      <c r="L44" s="88"/>
      <c r="M44" s="87"/>
      <c r="N44" s="89"/>
      <c r="O44" s="90"/>
      <c r="R44" s="92" t="s">
        <v>109</v>
      </c>
    </row>
    <row r="45" spans="2:18" ht="15.75" customHeight="1" x14ac:dyDescent="0.25">
      <c r="B45" s="83"/>
      <c r="C45" s="83"/>
      <c r="D45" s="83"/>
      <c r="E45" s="84"/>
      <c r="F45" s="85"/>
      <c r="G45" s="85"/>
      <c r="H45" s="85"/>
      <c r="I45" s="86"/>
      <c r="J45" s="68"/>
      <c r="K45" s="87"/>
      <c r="L45" s="88"/>
      <c r="M45" s="87"/>
      <c r="N45" s="89"/>
      <c r="O45" s="90"/>
      <c r="R45" s="92" t="s">
        <v>110</v>
      </c>
    </row>
    <row r="46" spans="2:18" ht="15.75" customHeight="1" x14ac:dyDescent="0.25">
      <c r="B46" s="83"/>
      <c r="C46" s="83"/>
      <c r="D46" s="83"/>
      <c r="E46" s="84"/>
      <c r="F46" s="85"/>
      <c r="G46" s="85"/>
      <c r="H46" s="85"/>
      <c r="I46" s="86"/>
      <c r="J46" s="68"/>
      <c r="K46" s="87"/>
      <c r="L46" s="88"/>
      <c r="M46" s="87"/>
      <c r="N46" s="89"/>
      <c r="O46" s="90"/>
      <c r="R46" s="92" t="s">
        <v>111</v>
      </c>
    </row>
    <row r="47" spans="2:18" ht="15.75" customHeight="1" x14ac:dyDescent="0.25">
      <c r="B47" s="83"/>
      <c r="C47" s="83"/>
      <c r="D47" s="83"/>
      <c r="E47" s="84"/>
      <c r="F47" s="85"/>
      <c r="G47" s="85"/>
      <c r="H47" s="85"/>
      <c r="I47" s="86"/>
      <c r="J47" s="68"/>
      <c r="K47" s="87"/>
      <c r="L47" s="88"/>
      <c r="M47" s="87"/>
      <c r="N47" s="89"/>
      <c r="O47" s="90"/>
      <c r="R47" s="92" t="s">
        <v>112</v>
      </c>
    </row>
    <row r="48" spans="2:18" ht="15.75" customHeight="1" x14ac:dyDescent="0.25">
      <c r="B48" s="83"/>
      <c r="C48" s="83"/>
      <c r="D48" s="83"/>
      <c r="E48" s="84"/>
      <c r="F48" s="85"/>
      <c r="G48" s="85"/>
      <c r="H48" s="85"/>
      <c r="I48" s="86"/>
      <c r="J48" s="68"/>
      <c r="K48" s="87"/>
      <c r="L48" s="88"/>
      <c r="M48" s="87"/>
      <c r="N48" s="89"/>
      <c r="O48" s="90"/>
      <c r="R48" s="92" t="s">
        <v>113</v>
      </c>
    </row>
    <row r="49" spans="2:18" ht="15.75" customHeight="1" x14ac:dyDescent="0.25">
      <c r="B49" s="83"/>
      <c r="C49" s="83"/>
      <c r="D49" s="83"/>
      <c r="E49" s="84"/>
      <c r="F49" s="85"/>
      <c r="G49" s="85"/>
      <c r="H49" s="85"/>
      <c r="I49" s="86"/>
      <c r="J49" s="68"/>
      <c r="K49" s="87"/>
      <c r="L49" s="88"/>
      <c r="M49" s="87"/>
      <c r="N49" s="89"/>
      <c r="O49" s="90"/>
      <c r="R49" s="92" t="s">
        <v>114</v>
      </c>
    </row>
    <row r="50" spans="2:18" ht="15.75" customHeight="1" x14ac:dyDescent="0.25">
      <c r="B50" s="83"/>
      <c r="C50" s="83"/>
      <c r="D50" s="83"/>
      <c r="E50" s="84"/>
      <c r="F50" s="85"/>
      <c r="G50" s="85"/>
      <c r="H50" s="85"/>
      <c r="I50" s="86"/>
      <c r="J50" s="68"/>
      <c r="K50" s="87"/>
      <c r="L50" s="88"/>
      <c r="M50" s="87"/>
      <c r="N50" s="89"/>
      <c r="O50" s="90"/>
      <c r="R50" s="92" t="s">
        <v>115</v>
      </c>
    </row>
    <row r="51" spans="2:18" ht="15.75" customHeight="1" x14ac:dyDescent="0.25">
      <c r="B51" s="83"/>
      <c r="C51" s="83"/>
      <c r="D51" s="83"/>
      <c r="E51" s="84"/>
      <c r="F51" s="85"/>
      <c r="G51" s="85"/>
      <c r="H51" s="85"/>
      <c r="I51" s="86"/>
      <c r="J51" s="68"/>
      <c r="K51" s="87"/>
      <c r="L51" s="88"/>
      <c r="M51" s="87"/>
      <c r="N51" s="89"/>
      <c r="O51" s="90"/>
      <c r="R51" s="92" t="s">
        <v>116</v>
      </c>
    </row>
    <row r="52" spans="2:18" ht="15.75" customHeight="1" x14ac:dyDescent="0.25">
      <c r="B52" s="83"/>
      <c r="C52" s="83"/>
      <c r="D52" s="83"/>
      <c r="E52" s="84"/>
      <c r="F52" s="85"/>
      <c r="G52" s="85"/>
      <c r="H52" s="85"/>
      <c r="I52" s="86"/>
      <c r="J52" s="68"/>
      <c r="K52" s="87"/>
      <c r="L52" s="88"/>
      <c r="M52" s="87"/>
      <c r="N52" s="89"/>
      <c r="O52" s="90"/>
      <c r="R52" s="92" t="s">
        <v>117</v>
      </c>
    </row>
    <row r="53" spans="2:18" ht="15.75" customHeight="1" x14ac:dyDescent="0.25">
      <c r="B53" s="83"/>
      <c r="C53" s="83"/>
      <c r="D53" s="83"/>
      <c r="E53" s="84"/>
      <c r="F53" s="85"/>
      <c r="G53" s="85"/>
      <c r="H53" s="85"/>
      <c r="I53" s="86"/>
      <c r="J53" s="68"/>
      <c r="K53" s="87"/>
      <c r="L53" s="88"/>
      <c r="M53" s="87"/>
      <c r="N53" s="89"/>
      <c r="O53" s="90"/>
      <c r="R53" s="92" t="s">
        <v>118</v>
      </c>
    </row>
    <row r="54" spans="2:18" ht="15.75" customHeight="1" x14ac:dyDescent="0.25">
      <c r="B54" s="83"/>
      <c r="C54" s="83"/>
      <c r="D54" s="83"/>
      <c r="E54" s="84"/>
      <c r="F54" s="85"/>
      <c r="G54" s="85"/>
      <c r="H54" s="85"/>
      <c r="I54" s="86"/>
      <c r="J54" s="68"/>
      <c r="K54" s="87"/>
      <c r="L54" s="88"/>
      <c r="M54" s="87"/>
      <c r="N54" s="89"/>
      <c r="O54" s="90"/>
      <c r="R54" s="92" t="s">
        <v>119</v>
      </c>
    </row>
    <row r="55" spans="2:18" ht="15.75" customHeight="1" x14ac:dyDescent="0.25">
      <c r="B55" s="83"/>
      <c r="C55" s="83"/>
      <c r="D55" s="83"/>
      <c r="E55" s="84"/>
      <c r="F55" s="85"/>
      <c r="G55" s="85"/>
      <c r="H55" s="85"/>
      <c r="I55" s="86"/>
      <c r="J55" s="68"/>
      <c r="K55" s="87"/>
      <c r="L55" s="88"/>
      <c r="M55" s="87"/>
      <c r="N55" s="89"/>
      <c r="O55" s="90"/>
      <c r="R55" s="92" t="s">
        <v>120</v>
      </c>
    </row>
    <row r="56" spans="2:18" ht="15.75" customHeight="1" x14ac:dyDescent="0.25">
      <c r="R56" s="92" t="s">
        <v>121</v>
      </c>
    </row>
    <row r="57" spans="2:18" ht="15.75" customHeight="1" x14ac:dyDescent="0.25">
      <c r="R57" s="92" t="s">
        <v>122</v>
      </c>
    </row>
    <row r="58" spans="2:18" ht="15.75" customHeight="1" x14ac:dyDescent="0.25">
      <c r="R58" s="92" t="s">
        <v>123</v>
      </c>
    </row>
    <row r="59" spans="2:18" ht="15.75" customHeight="1" x14ac:dyDescent="0.25">
      <c r="R59" s="92" t="s">
        <v>124</v>
      </c>
    </row>
    <row r="60" spans="2:18" ht="15.75" customHeight="1" x14ac:dyDescent="0.25">
      <c r="R60" s="92" t="s">
        <v>125</v>
      </c>
    </row>
    <row r="61" spans="2:18" ht="15.75" customHeight="1" x14ac:dyDescent="0.25">
      <c r="R61" s="92" t="s">
        <v>126</v>
      </c>
    </row>
    <row r="62" spans="2:18" ht="15.75" customHeight="1" x14ac:dyDescent="0.25">
      <c r="R62" s="92" t="s">
        <v>127</v>
      </c>
    </row>
    <row r="63" spans="2:18" ht="15.75" customHeight="1" x14ac:dyDescent="0.25">
      <c r="R63" s="92" t="s">
        <v>128</v>
      </c>
    </row>
    <row r="64" spans="2:18" ht="15.75" customHeight="1" x14ac:dyDescent="0.25">
      <c r="R64" s="92" t="s">
        <v>129</v>
      </c>
    </row>
    <row r="65" spans="18:18" ht="15.75" customHeight="1" x14ac:dyDescent="0.25">
      <c r="R65" s="92" t="s">
        <v>130</v>
      </c>
    </row>
    <row r="66" spans="18:18" ht="15.75" customHeight="1" x14ac:dyDescent="0.25">
      <c r="R66" s="92" t="s">
        <v>131</v>
      </c>
    </row>
    <row r="67" spans="18:18" ht="15.75" customHeight="1" x14ac:dyDescent="0.25">
      <c r="R67" s="92" t="s">
        <v>132</v>
      </c>
    </row>
    <row r="68" spans="18:18" ht="15.75" customHeight="1" x14ac:dyDescent="0.25">
      <c r="R68" s="92" t="s">
        <v>133</v>
      </c>
    </row>
    <row r="69" spans="18:18" ht="15.75" customHeight="1" x14ac:dyDescent="0.25">
      <c r="R69" s="92" t="s">
        <v>134</v>
      </c>
    </row>
    <row r="70" spans="18:18" ht="15.75" customHeight="1" x14ac:dyDescent="0.25">
      <c r="R70" s="92" t="s">
        <v>135</v>
      </c>
    </row>
    <row r="71" spans="18:18" ht="15.75" customHeight="1" x14ac:dyDescent="0.25">
      <c r="R71" s="92" t="s">
        <v>136</v>
      </c>
    </row>
    <row r="72" spans="18:18" ht="15.75" customHeight="1" x14ac:dyDescent="0.25">
      <c r="R72" s="92" t="s">
        <v>137</v>
      </c>
    </row>
    <row r="73" spans="18:18" ht="15.75" customHeight="1" x14ac:dyDescent="0.25">
      <c r="R73" s="92" t="s">
        <v>138</v>
      </c>
    </row>
    <row r="74" spans="18:18" ht="15.75" customHeight="1" x14ac:dyDescent="0.25">
      <c r="R74" s="92" t="s">
        <v>139</v>
      </c>
    </row>
    <row r="75" spans="18:18" ht="15.75" customHeight="1" x14ac:dyDescent="0.25">
      <c r="R75" s="92" t="s">
        <v>140</v>
      </c>
    </row>
    <row r="76" spans="18:18" ht="15.75" customHeight="1" x14ac:dyDescent="0.25">
      <c r="R76" s="92" t="s">
        <v>141</v>
      </c>
    </row>
    <row r="77" spans="18:18" ht="15.75" customHeight="1" x14ac:dyDescent="0.25">
      <c r="R77" s="92" t="s">
        <v>142</v>
      </c>
    </row>
    <row r="78" spans="18:18" ht="15.75" customHeight="1" x14ac:dyDescent="0.25">
      <c r="R78" s="92" t="s">
        <v>143</v>
      </c>
    </row>
    <row r="79" spans="18:18" ht="15.75" customHeight="1" x14ac:dyDescent="0.25">
      <c r="R79" s="92" t="s">
        <v>144</v>
      </c>
    </row>
    <row r="80" spans="18:18" ht="15.75" customHeight="1" x14ac:dyDescent="0.25">
      <c r="R80" s="92" t="s">
        <v>145</v>
      </c>
    </row>
    <row r="81" spans="18:18" ht="15.75" customHeight="1" x14ac:dyDescent="0.25">
      <c r="R81" s="92" t="s">
        <v>146</v>
      </c>
    </row>
    <row r="82" spans="18:18" ht="15.75" customHeight="1" x14ac:dyDescent="0.25">
      <c r="R82" s="92" t="s">
        <v>147</v>
      </c>
    </row>
    <row r="83" spans="18:18" ht="15.75" customHeight="1" x14ac:dyDescent="0.25">
      <c r="R83" s="92" t="s">
        <v>148</v>
      </c>
    </row>
    <row r="84" spans="18:18" ht="15.75" customHeight="1" x14ac:dyDescent="0.25">
      <c r="R84" s="92" t="s">
        <v>149</v>
      </c>
    </row>
    <row r="85" spans="18:18" ht="15.75" customHeight="1" x14ac:dyDescent="0.25">
      <c r="R85" s="92" t="s">
        <v>150</v>
      </c>
    </row>
    <row r="86" spans="18:18" ht="15.75" customHeight="1" x14ac:dyDescent="0.25">
      <c r="R86" s="92" t="s">
        <v>151</v>
      </c>
    </row>
    <row r="87" spans="18:18" ht="15.75" customHeight="1" x14ac:dyDescent="0.25">
      <c r="R87" s="92" t="s">
        <v>152</v>
      </c>
    </row>
    <row r="88" spans="18:18" ht="15.75" customHeight="1" x14ac:dyDescent="0.25">
      <c r="R88" s="74"/>
    </row>
    <row r="89" spans="18:18" ht="15.75" customHeight="1" x14ac:dyDescent="0.25">
      <c r="R89" s="74"/>
    </row>
    <row r="90" spans="18:18" ht="15.75" customHeight="1" x14ac:dyDescent="0.25">
      <c r="R90" s="74"/>
    </row>
    <row r="91" spans="18:18" ht="15.75" customHeight="1" x14ac:dyDescent="0.25">
      <c r="R91" s="74"/>
    </row>
    <row r="92" spans="18:18" ht="15.75" customHeight="1" x14ac:dyDescent="0.25">
      <c r="R92" s="74"/>
    </row>
    <row r="93" spans="18:18" ht="15.75" customHeight="1" x14ac:dyDescent="0.25">
      <c r="R93" s="74"/>
    </row>
    <row r="94" spans="18:18" ht="15.75" customHeight="1" x14ac:dyDescent="0.25">
      <c r="R94" s="74"/>
    </row>
    <row r="95" spans="18:18" ht="15.75" customHeight="1" x14ac:dyDescent="0.25">
      <c r="R95" s="74"/>
    </row>
    <row r="96" spans="18:18" ht="15.75" customHeight="1" x14ac:dyDescent="0.25">
      <c r="R96" s="74"/>
    </row>
    <row r="97" spans="18:18" ht="15.75" customHeight="1" x14ac:dyDescent="0.25">
      <c r="R97" s="74"/>
    </row>
    <row r="98" spans="18:18" ht="15.75" customHeight="1" x14ac:dyDescent="0.25">
      <c r="R98" s="74"/>
    </row>
    <row r="99" spans="18:18" ht="15.75" customHeight="1" x14ac:dyDescent="0.25">
      <c r="R99" s="74"/>
    </row>
    <row r="100" spans="18:18" ht="15.75" customHeight="1" x14ac:dyDescent="0.25">
      <c r="R100" s="74"/>
    </row>
    <row r="101" spans="18:18" ht="15.75" customHeight="1" x14ac:dyDescent="0.25">
      <c r="R101" s="74"/>
    </row>
    <row r="102" spans="18:18" ht="15.75" customHeight="1" x14ac:dyDescent="0.25">
      <c r="R102" s="74"/>
    </row>
    <row r="103" spans="18:18" ht="15.75" customHeight="1" x14ac:dyDescent="0.25">
      <c r="R103" s="74"/>
    </row>
    <row r="104" spans="18:18" ht="15.75" customHeight="1" x14ac:dyDescent="0.25">
      <c r="R104" s="74"/>
    </row>
    <row r="105" spans="18:18" ht="15.75" customHeight="1" x14ac:dyDescent="0.25">
      <c r="R105" s="74"/>
    </row>
    <row r="106" spans="18:18" ht="15.75" customHeight="1" x14ac:dyDescent="0.25">
      <c r="R106" s="74"/>
    </row>
    <row r="107" spans="18:18" ht="15.75" customHeight="1" x14ac:dyDescent="0.25">
      <c r="R107" s="74"/>
    </row>
    <row r="108" spans="18:18" ht="15.75" customHeight="1" x14ac:dyDescent="0.25">
      <c r="R108" s="74"/>
    </row>
    <row r="109" spans="18:18" ht="15.75" customHeight="1" x14ac:dyDescent="0.25">
      <c r="R109" s="74"/>
    </row>
    <row r="110" spans="18:18" ht="15.75" customHeight="1" x14ac:dyDescent="0.25">
      <c r="R110" s="74"/>
    </row>
    <row r="111" spans="18:18" ht="15.75" customHeight="1" x14ac:dyDescent="0.25">
      <c r="R111" s="74"/>
    </row>
    <row r="112" spans="18:18" ht="15.75" customHeight="1" x14ac:dyDescent="0.25">
      <c r="R112" s="74"/>
    </row>
    <row r="113" spans="18:18" ht="15.75" customHeight="1" x14ac:dyDescent="0.25">
      <c r="R113" s="74"/>
    </row>
    <row r="114" spans="18:18" ht="15.75" customHeight="1" x14ac:dyDescent="0.25">
      <c r="R114" s="74"/>
    </row>
    <row r="115" spans="18:18" ht="15.75" customHeight="1" x14ac:dyDescent="0.25">
      <c r="R115" s="74"/>
    </row>
    <row r="116" spans="18:18" ht="15.75" customHeight="1" x14ac:dyDescent="0.25">
      <c r="R116" s="92" t="s">
        <v>153</v>
      </c>
    </row>
    <row r="117" spans="18:18" ht="15.75" customHeight="1" x14ac:dyDescent="0.25">
      <c r="R117" s="75" t="s">
        <v>154</v>
      </c>
    </row>
    <row r="118" spans="18:18" ht="15.75" customHeight="1" x14ac:dyDescent="0.25">
      <c r="R118" s="75" t="s">
        <v>155</v>
      </c>
    </row>
    <row r="119" spans="18:18" ht="15.75" customHeight="1" x14ac:dyDescent="0.25">
      <c r="R119" s="75" t="s">
        <v>156</v>
      </c>
    </row>
    <row r="120" spans="18:18" ht="15.75" customHeight="1" x14ac:dyDescent="0.25">
      <c r="R120" s="75" t="s">
        <v>157</v>
      </c>
    </row>
    <row r="121" spans="18:18" ht="15.75" customHeight="1" x14ac:dyDescent="0.25">
      <c r="R121" s="75" t="s">
        <v>158</v>
      </c>
    </row>
    <row r="122" spans="18:18" ht="15.75" customHeight="1" x14ac:dyDescent="0.25">
      <c r="R122" s="75" t="s">
        <v>159</v>
      </c>
    </row>
    <row r="123" spans="18:18" ht="15.75" customHeight="1" x14ac:dyDescent="0.25">
      <c r="R123" s="75" t="s">
        <v>160</v>
      </c>
    </row>
    <row r="124" spans="18:18" ht="15.75" customHeight="1" x14ac:dyDescent="0.25">
      <c r="R124" s="75" t="s">
        <v>161</v>
      </c>
    </row>
    <row r="125" spans="18:18" ht="15.75" customHeight="1" x14ac:dyDescent="0.25">
      <c r="R125" s="75" t="s">
        <v>162</v>
      </c>
    </row>
    <row r="126" spans="18:18" ht="15.75" customHeight="1" x14ac:dyDescent="0.25">
      <c r="R126" s="75" t="s">
        <v>163</v>
      </c>
    </row>
    <row r="127" spans="18:18" ht="15.75" customHeight="1" x14ac:dyDescent="0.25">
      <c r="R127" s="75"/>
    </row>
    <row r="128" spans="18:18" ht="15.75" customHeight="1" x14ac:dyDescent="0.25">
      <c r="R128" s="75"/>
    </row>
    <row r="129" spans="18:18" ht="15.75" customHeight="1" x14ac:dyDescent="0.25">
      <c r="R129" s="75"/>
    </row>
    <row r="130" spans="18:18" ht="15.75" customHeight="1" x14ac:dyDescent="0.25">
      <c r="R130" s="75"/>
    </row>
    <row r="131" spans="18:18" ht="15.75" customHeight="1" x14ac:dyDescent="0.25">
      <c r="R131" s="74"/>
    </row>
    <row r="132" spans="18:18" ht="15.75" customHeight="1" x14ac:dyDescent="0.25">
      <c r="R132" s="74"/>
    </row>
    <row r="133" spans="18:18" ht="15.75" customHeight="1" x14ac:dyDescent="0.25">
      <c r="R133" s="74"/>
    </row>
    <row r="134" spans="18:18" ht="15.75" customHeight="1" x14ac:dyDescent="0.25">
      <c r="R134" s="74"/>
    </row>
    <row r="135" spans="18:18" ht="15.75" customHeight="1" x14ac:dyDescent="0.25">
      <c r="R135" s="74"/>
    </row>
    <row r="136" spans="18:18" ht="15.75" customHeight="1" x14ac:dyDescent="0.25">
      <c r="R136" s="74"/>
    </row>
    <row r="137" spans="18:18" ht="15.75" customHeight="1" x14ac:dyDescent="0.25">
      <c r="R137" s="74"/>
    </row>
    <row r="138" spans="18:18" ht="15.75" customHeight="1" x14ac:dyDescent="0.25">
      <c r="R138" s="74"/>
    </row>
    <row r="139" spans="18:18" ht="15.75" customHeight="1" x14ac:dyDescent="0.25">
      <c r="R139" s="74"/>
    </row>
    <row r="140" spans="18:18" ht="15.75" customHeight="1" x14ac:dyDescent="0.25">
      <c r="R140" s="74"/>
    </row>
    <row r="141" spans="18:18" ht="15.75" customHeight="1" x14ac:dyDescent="0.25">
      <c r="R141" s="74"/>
    </row>
    <row r="142" spans="18:18" ht="15.75" customHeight="1" x14ac:dyDescent="0.25">
      <c r="R142" s="74"/>
    </row>
    <row r="143" spans="18:18" ht="15.75" customHeight="1" x14ac:dyDescent="0.25">
      <c r="R143" s="74"/>
    </row>
    <row r="144" spans="18:18" ht="15.75" customHeight="1" x14ac:dyDescent="0.25">
      <c r="R144" s="74"/>
    </row>
    <row r="145" spans="18:18" ht="15.75" customHeight="1" x14ac:dyDescent="0.25">
      <c r="R145" s="74"/>
    </row>
    <row r="146" spans="18:18" ht="15.75" customHeight="1" x14ac:dyDescent="0.25">
      <c r="R146" s="74"/>
    </row>
    <row r="147" spans="18:18" ht="15.75" customHeight="1" x14ac:dyDescent="0.25">
      <c r="R147" s="74"/>
    </row>
    <row r="148" spans="18:18" ht="15.75" customHeight="1" x14ac:dyDescent="0.25">
      <c r="R148" s="74"/>
    </row>
    <row r="149" spans="18:18" ht="15.75" customHeight="1" x14ac:dyDescent="0.25">
      <c r="R149" s="74"/>
    </row>
    <row r="150" spans="18:18" ht="15.75" customHeight="1" x14ac:dyDescent="0.25">
      <c r="R150" s="74"/>
    </row>
    <row r="151" spans="18:18" ht="15.75" customHeight="1" x14ac:dyDescent="0.25">
      <c r="R151" s="74"/>
    </row>
    <row r="152" spans="18:18" ht="15.75" customHeight="1" x14ac:dyDescent="0.25">
      <c r="R152" s="74"/>
    </row>
    <row r="153" spans="18:18" ht="15.75" customHeight="1" x14ac:dyDescent="0.25">
      <c r="R153" s="74"/>
    </row>
    <row r="154" spans="18:18" ht="15.75" customHeight="1" x14ac:dyDescent="0.25">
      <c r="R154" s="74"/>
    </row>
    <row r="155" spans="18:18" ht="15.75" customHeight="1" x14ac:dyDescent="0.25">
      <c r="R155" s="74"/>
    </row>
    <row r="156" spans="18:18" ht="15.75" customHeight="1" x14ac:dyDescent="0.25">
      <c r="R156" s="74"/>
    </row>
    <row r="157" spans="18:18" ht="15.75" customHeight="1" x14ac:dyDescent="0.25">
      <c r="R157" s="74"/>
    </row>
    <row r="158" spans="18:18" ht="15.75" customHeight="1" x14ac:dyDescent="0.25">
      <c r="R158" s="74"/>
    </row>
    <row r="159" spans="18:18" ht="15.75" customHeight="1" x14ac:dyDescent="0.25">
      <c r="R159" s="74"/>
    </row>
    <row r="160" spans="18:18" ht="15.75" customHeight="1" x14ac:dyDescent="0.25">
      <c r="R160" s="74"/>
    </row>
    <row r="161" spans="18:18" ht="15.75" customHeight="1" x14ac:dyDescent="0.25">
      <c r="R161" s="74"/>
    </row>
    <row r="162" spans="18:18" ht="15.75" customHeight="1" x14ac:dyDescent="0.25">
      <c r="R162" s="74"/>
    </row>
    <row r="163" spans="18:18" ht="15.75" customHeight="1" x14ac:dyDescent="0.25">
      <c r="R163" s="74"/>
    </row>
    <row r="164" spans="18:18" ht="15.75" customHeight="1" x14ac:dyDescent="0.25">
      <c r="R164" s="74"/>
    </row>
    <row r="165" spans="18:18" ht="15.75" customHeight="1" x14ac:dyDescent="0.25">
      <c r="R165" s="74"/>
    </row>
    <row r="166" spans="18:18" ht="15.75" customHeight="1" x14ac:dyDescent="0.25">
      <c r="R166" s="74"/>
    </row>
    <row r="167" spans="18:18" ht="15.75" customHeight="1" x14ac:dyDescent="0.25">
      <c r="R167" s="74"/>
    </row>
    <row r="168" spans="18:18" ht="15.75" customHeight="1" x14ac:dyDescent="0.25">
      <c r="R168" s="74"/>
    </row>
    <row r="169" spans="18:18" ht="15.75" customHeight="1" x14ac:dyDescent="0.25">
      <c r="R169" s="74"/>
    </row>
    <row r="170" spans="18:18" ht="15.75" customHeight="1" x14ac:dyDescent="0.25">
      <c r="R170" s="74"/>
    </row>
    <row r="171" spans="18:18" ht="15.75" customHeight="1" x14ac:dyDescent="0.25">
      <c r="R171" s="74"/>
    </row>
    <row r="172" spans="18:18" ht="15.75" customHeight="1" x14ac:dyDescent="0.25">
      <c r="R172" s="74"/>
    </row>
    <row r="173" spans="18:18" ht="15.75" customHeight="1" x14ac:dyDescent="0.25">
      <c r="R173" s="74"/>
    </row>
    <row r="174" spans="18:18" ht="15.75" customHeight="1" x14ac:dyDescent="0.25">
      <c r="R174" s="74"/>
    </row>
    <row r="175" spans="18:18" ht="15.75" customHeight="1" x14ac:dyDescent="0.25">
      <c r="R175" s="74"/>
    </row>
    <row r="176" spans="18:18" ht="15.75" customHeight="1" x14ac:dyDescent="0.25">
      <c r="R176" s="74"/>
    </row>
    <row r="177" spans="18:18" ht="15.75" customHeight="1" x14ac:dyDescent="0.25">
      <c r="R177" s="74"/>
    </row>
    <row r="178" spans="18:18" ht="15.75" customHeight="1" x14ac:dyDescent="0.25">
      <c r="R178" s="74"/>
    </row>
    <row r="179" spans="18:18" ht="15.75" customHeight="1" x14ac:dyDescent="0.25">
      <c r="R179" s="74"/>
    </row>
    <row r="180" spans="18:18" ht="15.75" customHeight="1" x14ac:dyDescent="0.25">
      <c r="R180" s="74"/>
    </row>
    <row r="181" spans="18:18" ht="15.75" customHeight="1" x14ac:dyDescent="0.25">
      <c r="R181" s="74"/>
    </row>
    <row r="182" spans="18:18" ht="15.75" customHeight="1" x14ac:dyDescent="0.25">
      <c r="R182" s="74"/>
    </row>
    <row r="183" spans="18:18" ht="15.75" customHeight="1" x14ac:dyDescent="0.25">
      <c r="R183" s="74"/>
    </row>
    <row r="184" spans="18:18" ht="15.75" customHeight="1" x14ac:dyDescent="0.25">
      <c r="R184" s="74"/>
    </row>
    <row r="185" spans="18:18" ht="15.75" customHeight="1" x14ac:dyDescent="0.25">
      <c r="R185" s="74"/>
    </row>
    <row r="186" spans="18:18" ht="15.75" customHeight="1" x14ac:dyDescent="0.25">
      <c r="R186" s="74"/>
    </row>
    <row r="187" spans="18:18" ht="15.75" customHeight="1" x14ac:dyDescent="0.25">
      <c r="R187" s="74"/>
    </row>
    <row r="188" spans="18:18" ht="15.75" customHeight="1" x14ac:dyDescent="0.25">
      <c r="R188" s="74"/>
    </row>
    <row r="189" spans="18:18" ht="15.75" customHeight="1" x14ac:dyDescent="0.25">
      <c r="R189" s="74"/>
    </row>
    <row r="190" spans="18:18" ht="15.75" customHeight="1" x14ac:dyDescent="0.25">
      <c r="R190" s="74"/>
    </row>
    <row r="191" spans="18:18" ht="15.75" customHeight="1" x14ac:dyDescent="0.25">
      <c r="R191" s="74"/>
    </row>
    <row r="192" spans="18:18" ht="15.75" customHeight="1" x14ac:dyDescent="0.25">
      <c r="R192" s="74"/>
    </row>
    <row r="193" spans="18:18" ht="15.75" customHeight="1" x14ac:dyDescent="0.25">
      <c r="R193" s="74"/>
    </row>
    <row r="194" spans="18:18" ht="15.75" customHeight="1" x14ac:dyDescent="0.25">
      <c r="R194" s="74"/>
    </row>
    <row r="195" spans="18:18" ht="15.75" customHeight="1" x14ac:dyDescent="0.25">
      <c r="R195" s="74"/>
    </row>
    <row r="196" spans="18:18" ht="15.75" customHeight="1" x14ac:dyDescent="0.25">
      <c r="R196" s="74"/>
    </row>
    <row r="197" spans="18:18" ht="15.75" customHeight="1" x14ac:dyDescent="0.25">
      <c r="R197" s="74"/>
    </row>
    <row r="198" spans="18:18" ht="15.75" customHeight="1" x14ac:dyDescent="0.25">
      <c r="R198" s="74"/>
    </row>
    <row r="199" spans="18:18" ht="15.75" customHeight="1" x14ac:dyDescent="0.25">
      <c r="R199" s="74"/>
    </row>
    <row r="200" spans="18:18" ht="15.75" customHeight="1" x14ac:dyDescent="0.25">
      <c r="R200" s="74"/>
    </row>
    <row r="201" spans="18:18" ht="15.75" customHeight="1" x14ac:dyDescent="0.25">
      <c r="R201" s="74"/>
    </row>
    <row r="202" spans="18:18" ht="15.75" customHeight="1" x14ac:dyDescent="0.25">
      <c r="R202" s="74"/>
    </row>
    <row r="203" spans="18:18" ht="15.75" customHeight="1" x14ac:dyDescent="0.25">
      <c r="R203" s="74"/>
    </row>
    <row r="204" spans="18:18" ht="15.75" customHeight="1" x14ac:dyDescent="0.25">
      <c r="R204" s="74"/>
    </row>
    <row r="205" spans="18:18" ht="15.75" customHeight="1" x14ac:dyDescent="0.25">
      <c r="R205" s="74"/>
    </row>
    <row r="206" spans="18:18" ht="15.75" customHeight="1" x14ac:dyDescent="0.25">
      <c r="R206" s="74"/>
    </row>
    <row r="207" spans="18:18" ht="15.75" customHeight="1" x14ac:dyDescent="0.25">
      <c r="R207" s="74"/>
    </row>
    <row r="208" spans="18:18" ht="15.75" customHeight="1" x14ac:dyDescent="0.25">
      <c r="R208" s="74"/>
    </row>
    <row r="209" spans="18:18" ht="15.75" customHeight="1" x14ac:dyDescent="0.25">
      <c r="R209" s="74"/>
    </row>
    <row r="210" spans="18:18" ht="15.75" customHeight="1" x14ac:dyDescent="0.25">
      <c r="R210" s="74"/>
    </row>
    <row r="211" spans="18:18" ht="15.75" customHeight="1" x14ac:dyDescent="0.25">
      <c r="R211" s="74"/>
    </row>
    <row r="212" spans="18:18" ht="15.75" customHeight="1" x14ac:dyDescent="0.25">
      <c r="R212" s="74"/>
    </row>
    <row r="213" spans="18:18" ht="15.75" customHeight="1" x14ac:dyDescent="0.25">
      <c r="R213" s="74"/>
    </row>
    <row r="214" spans="18:18" ht="15.75" customHeight="1" x14ac:dyDescent="0.25">
      <c r="R214" s="74"/>
    </row>
    <row r="215" spans="18:18" ht="15.75" customHeight="1" x14ac:dyDescent="0.25">
      <c r="R215" s="74"/>
    </row>
    <row r="216" spans="18:18" ht="15.75" customHeight="1" x14ac:dyDescent="0.25">
      <c r="R216" s="74"/>
    </row>
    <row r="217" spans="18:18" ht="15.75" customHeight="1" x14ac:dyDescent="0.25">
      <c r="R217" s="74"/>
    </row>
    <row r="218" spans="18:18" ht="15.75" customHeight="1" x14ac:dyDescent="0.25">
      <c r="R218" s="74"/>
    </row>
    <row r="219" spans="18:18" ht="15.75" customHeight="1" x14ac:dyDescent="0.25">
      <c r="R219" s="74"/>
    </row>
    <row r="220" spans="18:18" ht="15.75" customHeight="1" x14ac:dyDescent="0.25">
      <c r="R220" s="74"/>
    </row>
    <row r="221" spans="18:18" ht="15.75" customHeight="1" x14ac:dyDescent="0.25">
      <c r="R221" s="74"/>
    </row>
    <row r="222" spans="18:18" ht="15.75" customHeight="1" x14ac:dyDescent="0.25">
      <c r="R222" s="74"/>
    </row>
    <row r="223" spans="18:18" ht="15.75" customHeight="1" x14ac:dyDescent="0.25">
      <c r="R223" s="74"/>
    </row>
    <row r="224" spans="18:18" ht="15.75" customHeight="1" x14ac:dyDescent="0.25">
      <c r="R224" s="74"/>
    </row>
    <row r="225" spans="18:18" ht="15.75" customHeight="1" x14ac:dyDescent="0.25">
      <c r="R225" s="74"/>
    </row>
    <row r="226" spans="18:18" ht="15.75" customHeight="1" x14ac:dyDescent="0.25">
      <c r="R226" s="74"/>
    </row>
    <row r="227" spans="18:18" ht="15.75" customHeight="1" x14ac:dyDescent="0.25">
      <c r="R227" s="74"/>
    </row>
    <row r="228" spans="18:18" ht="15.75" customHeight="1" x14ac:dyDescent="0.25">
      <c r="R228" s="74"/>
    </row>
    <row r="229" spans="18:18" ht="15.75" customHeight="1" x14ac:dyDescent="0.25">
      <c r="R229" s="74"/>
    </row>
    <row r="230" spans="18:18" ht="15.75" customHeight="1" x14ac:dyDescent="0.25">
      <c r="R230" s="74"/>
    </row>
    <row r="231" spans="18:18" ht="15.75" customHeight="1" x14ac:dyDescent="0.25">
      <c r="R231" s="74"/>
    </row>
    <row r="232" spans="18:18" ht="15.75" customHeight="1" x14ac:dyDescent="0.25">
      <c r="R232" s="74"/>
    </row>
    <row r="233" spans="18:18" ht="15.75" customHeight="1" x14ac:dyDescent="0.25">
      <c r="R233" s="74"/>
    </row>
    <row r="234" spans="18:18" ht="15.75" customHeight="1" x14ac:dyDescent="0.25">
      <c r="R234" s="74"/>
    </row>
    <row r="235" spans="18:18" ht="15.75" customHeight="1" x14ac:dyDescent="0.25">
      <c r="R235" s="74"/>
    </row>
    <row r="236" spans="18:18" ht="15.75" customHeight="1" x14ac:dyDescent="0.25">
      <c r="R236" s="74"/>
    </row>
    <row r="237" spans="18:18" ht="15.75" customHeight="1" x14ac:dyDescent="0.25">
      <c r="R237" s="74"/>
    </row>
    <row r="238" spans="18:18" ht="15.75" customHeight="1" x14ac:dyDescent="0.25">
      <c r="R238" s="74"/>
    </row>
    <row r="239" spans="18:18" ht="15.75" customHeight="1" x14ac:dyDescent="0.25">
      <c r="R239" s="74"/>
    </row>
    <row r="240" spans="18:18" ht="15.75" customHeight="1" x14ac:dyDescent="0.25">
      <c r="R240" s="74"/>
    </row>
    <row r="241" spans="18:18" ht="15.75" customHeight="1" x14ac:dyDescent="0.25">
      <c r="R241" s="74"/>
    </row>
    <row r="242" spans="18:18" ht="15.75" customHeight="1" x14ac:dyDescent="0.25">
      <c r="R242" s="74"/>
    </row>
    <row r="243" spans="18:18" ht="15.75" customHeight="1" x14ac:dyDescent="0.25">
      <c r="R243" s="74"/>
    </row>
    <row r="244" spans="18:18" ht="15.75" customHeight="1" x14ac:dyDescent="0.25">
      <c r="R244" s="74"/>
    </row>
    <row r="245" spans="18:18" ht="15.75" customHeight="1" x14ac:dyDescent="0.25">
      <c r="R245" s="74"/>
    </row>
    <row r="246" spans="18:18" ht="15.75" customHeight="1" x14ac:dyDescent="0.25">
      <c r="R246" s="74"/>
    </row>
    <row r="247" spans="18:18" ht="15.75" customHeight="1" x14ac:dyDescent="0.25">
      <c r="R247" s="74"/>
    </row>
    <row r="248" spans="18:18" ht="15.75" customHeight="1" x14ac:dyDescent="0.25">
      <c r="R248" s="74"/>
    </row>
    <row r="249" spans="18:18" ht="15.75" customHeight="1" x14ac:dyDescent="0.25">
      <c r="R249" s="74"/>
    </row>
    <row r="250" spans="18:18" ht="15.75" customHeight="1" x14ac:dyDescent="0.25">
      <c r="R250" s="74"/>
    </row>
    <row r="251" spans="18:18" ht="15.75" customHeight="1" x14ac:dyDescent="0.25">
      <c r="R251" s="74"/>
    </row>
    <row r="252" spans="18:18" ht="15.75" customHeight="1" x14ac:dyDescent="0.25">
      <c r="R252" s="74"/>
    </row>
    <row r="253" spans="18:18" ht="15.75" customHeight="1" x14ac:dyDescent="0.25">
      <c r="R253" s="74"/>
    </row>
    <row r="254" spans="18:18" ht="15.75" customHeight="1" x14ac:dyDescent="0.25">
      <c r="R254" s="74"/>
    </row>
    <row r="255" spans="18:18" ht="15.75" customHeight="1" x14ac:dyDescent="0.25">
      <c r="R255" s="74"/>
    </row>
    <row r="256" spans="18:18" ht="15.75" customHeight="1" x14ac:dyDescent="0.25">
      <c r="R256" s="74"/>
    </row>
    <row r="257" spans="18:18" ht="15.75" customHeight="1" x14ac:dyDescent="0.25">
      <c r="R257" s="74"/>
    </row>
    <row r="258" spans="18:18" ht="15.75" customHeight="1" x14ac:dyDescent="0.25">
      <c r="R258" s="74"/>
    </row>
    <row r="259" spans="18:18" ht="15.75" customHeight="1" x14ac:dyDescent="0.25">
      <c r="R259" s="74"/>
    </row>
    <row r="260" spans="18:18" ht="15.75" customHeight="1" x14ac:dyDescent="0.25">
      <c r="R260" s="74"/>
    </row>
    <row r="261" spans="18:18" ht="15.75" customHeight="1" x14ac:dyDescent="0.25">
      <c r="R261" s="74"/>
    </row>
    <row r="262" spans="18:18" ht="15.75" customHeight="1" x14ac:dyDescent="0.25">
      <c r="R262" s="74"/>
    </row>
    <row r="263" spans="18:18" ht="15.75" customHeight="1" x14ac:dyDescent="0.25">
      <c r="R263" s="74"/>
    </row>
    <row r="264" spans="18:18" ht="15.75" customHeight="1" x14ac:dyDescent="0.25">
      <c r="R264" s="74"/>
    </row>
    <row r="265" spans="18:18" ht="15.75" customHeight="1" x14ac:dyDescent="0.25">
      <c r="R265" s="74"/>
    </row>
    <row r="266" spans="18:18" ht="15.75" customHeight="1" x14ac:dyDescent="0.25">
      <c r="R266" s="74"/>
    </row>
    <row r="267" spans="18:18" ht="15.75" customHeight="1" x14ac:dyDescent="0.25">
      <c r="R267" s="74"/>
    </row>
    <row r="268" spans="18:18" ht="15.75" customHeight="1" x14ac:dyDescent="0.25">
      <c r="R268" s="74"/>
    </row>
    <row r="269" spans="18:18" ht="15.75" customHeight="1" x14ac:dyDescent="0.25">
      <c r="R269" s="74"/>
    </row>
    <row r="270" spans="18:18" ht="15.75" customHeight="1" x14ac:dyDescent="0.25">
      <c r="R270" s="74"/>
    </row>
    <row r="271" spans="18:18" ht="15.75" customHeight="1" x14ac:dyDescent="0.25">
      <c r="R271" s="74"/>
    </row>
    <row r="272" spans="18:18" ht="15.75" customHeight="1" x14ac:dyDescent="0.25">
      <c r="R272" s="74"/>
    </row>
    <row r="273" spans="18:18" ht="15.75" customHeight="1" x14ac:dyDescent="0.25">
      <c r="R273" s="74"/>
    </row>
    <row r="274" spans="18:18" ht="15.75" customHeight="1" x14ac:dyDescent="0.25">
      <c r="R274" s="74"/>
    </row>
    <row r="275" spans="18:18" ht="15.75" customHeight="1" x14ac:dyDescent="0.25">
      <c r="R275" s="74"/>
    </row>
    <row r="276" spans="18:18" ht="15.75" customHeight="1" x14ac:dyDescent="0.25">
      <c r="R276" s="74"/>
    </row>
    <row r="277" spans="18:18" ht="15.75" customHeight="1" x14ac:dyDescent="0.25">
      <c r="R277" s="74"/>
    </row>
    <row r="278" spans="18:18" ht="15.75" customHeight="1" x14ac:dyDescent="0.25">
      <c r="R278" s="74"/>
    </row>
    <row r="279" spans="18:18" ht="15.75" customHeight="1" x14ac:dyDescent="0.25">
      <c r="R279" s="74"/>
    </row>
    <row r="280" spans="18:18" ht="15.75" customHeight="1" x14ac:dyDescent="0.25">
      <c r="R280" s="74"/>
    </row>
    <row r="281" spans="18:18" ht="15.75" customHeight="1" x14ac:dyDescent="0.25">
      <c r="R281" s="74"/>
    </row>
    <row r="282" spans="18:18" ht="15.75" customHeight="1" x14ac:dyDescent="0.25">
      <c r="R282" s="74"/>
    </row>
    <row r="283" spans="18:18" ht="15.75" customHeight="1" x14ac:dyDescent="0.25">
      <c r="R283" s="74"/>
    </row>
    <row r="284" spans="18:18" ht="15.75" customHeight="1" x14ac:dyDescent="0.25">
      <c r="R284" s="74"/>
    </row>
    <row r="285" spans="18:18" ht="15.75" customHeight="1" x14ac:dyDescent="0.25">
      <c r="R285" s="74"/>
    </row>
    <row r="286" spans="18:18" ht="15.75" customHeight="1" x14ac:dyDescent="0.25">
      <c r="R286" s="74"/>
    </row>
    <row r="287" spans="18:18" ht="15.75" customHeight="1" x14ac:dyDescent="0.25">
      <c r="R287" s="74"/>
    </row>
    <row r="288" spans="18:18" ht="15.75" customHeight="1" x14ac:dyDescent="0.25">
      <c r="R288" s="74"/>
    </row>
    <row r="289" spans="18:18" ht="15.75" customHeight="1" x14ac:dyDescent="0.25">
      <c r="R289" s="74"/>
    </row>
    <row r="290" spans="18:18" ht="15.75" customHeight="1" x14ac:dyDescent="0.25">
      <c r="R290" s="74"/>
    </row>
    <row r="291" spans="18:18" ht="15.75" customHeight="1" x14ac:dyDescent="0.25">
      <c r="R291" s="74"/>
    </row>
    <row r="292" spans="18:18" ht="15.75" customHeight="1" x14ac:dyDescent="0.25">
      <c r="R292" s="74"/>
    </row>
    <row r="293" spans="18:18" ht="15.75" customHeight="1" x14ac:dyDescent="0.25">
      <c r="R293" s="74"/>
    </row>
    <row r="294" spans="18:18" ht="15.75" customHeight="1" x14ac:dyDescent="0.25">
      <c r="R294" s="74"/>
    </row>
    <row r="295" spans="18:18" ht="15.75" customHeight="1" x14ac:dyDescent="0.25">
      <c r="R295" s="74"/>
    </row>
    <row r="296" spans="18:18" ht="15.75" customHeight="1" x14ac:dyDescent="0.25">
      <c r="R296" s="74"/>
    </row>
    <row r="297" spans="18:18" ht="15.75" customHeight="1" x14ac:dyDescent="0.25">
      <c r="R297" s="74"/>
    </row>
    <row r="298" spans="18:18" ht="15.75" customHeight="1" x14ac:dyDescent="0.25">
      <c r="R298" s="74"/>
    </row>
    <row r="299" spans="18:18" ht="15.75" customHeight="1" x14ac:dyDescent="0.25">
      <c r="R299" s="74"/>
    </row>
    <row r="300" spans="18:18" ht="15.75" customHeight="1" x14ac:dyDescent="0.25">
      <c r="R300" s="74"/>
    </row>
    <row r="301" spans="18:18" ht="15.75" customHeight="1" x14ac:dyDescent="0.25">
      <c r="R301" s="74"/>
    </row>
    <row r="302" spans="18:18" ht="15.75" customHeight="1" x14ac:dyDescent="0.25">
      <c r="R302" s="74"/>
    </row>
    <row r="303" spans="18:18" ht="15.75" customHeight="1" x14ac:dyDescent="0.25">
      <c r="R303" s="74"/>
    </row>
    <row r="304" spans="18:18" ht="15.75" customHeight="1" x14ac:dyDescent="0.25">
      <c r="R304" s="74"/>
    </row>
    <row r="305" spans="18:18" ht="15.75" customHeight="1" x14ac:dyDescent="0.25">
      <c r="R305" s="74"/>
    </row>
    <row r="306" spans="18:18" ht="15.75" customHeight="1" x14ac:dyDescent="0.25">
      <c r="R306" s="74"/>
    </row>
    <row r="307" spans="18:18" ht="15.75" customHeight="1" x14ac:dyDescent="0.25">
      <c r="R307" s="74"/>
    </row>
    <row r="308" spans="18:18" ht="15.75" customHeight="1" x14ac:dyDescent="0.25">
      <c r="R308" s="74"/>
    </row>
    <row r="309" spans="18:18" ht="15.75" customHeight="1" x14ac:dyDescent="0.25">
      <c r="R309" s="74"/>
    </row>
    <row r="310" spans="18:18" ht="15.75" customHeight="1" x14ac:dyDescent="0.25">
      <c r="R310" s="74"/>
    </row>
    <row r="311" spans="18:18" ht="15.75" customHeight="1" x14ac:dyDescent="0.25">
      <c r="R311" s="74"/>
    </row>
    <row r="312" spans="18:18" ht="15.75" customHeight="1" x14ac:dyDescent="0.25">
      <c r="R312" s="74"/>
    </row>
    <row r="313" spans="18:18" ht="15.75" customHeight="1" x14ac:dyDescent="0.25">
      <c r="R313" s="74"/>
    </row>
    <row r="314" spans="18:18" ht="15.75" customHeight="1" x14ac:dyDescent="0.25">
      <c r="R314" s="74"/>
    </row>
    <row r="315" spans="18:18" ht="15.75" customHeight="1" x14ac:dyDescent="0.25">
      <c r="R315" s="74"/>
    </row>
    <row r="316" spans="18:18" ht="15.75" customHeight="1" x14ac:dyDescent="0.25">
      <c r="R316" s="74"/>
    </row>
    <row r="317" spans="18:18" ht="15.75" customHeight="1" x14ac:dyDescent="0.25">
      <c r="R317" s="74"/>
    </row>
    <row r="318" spans="18:18" ht="15.75" customHeight="1" x14ac:dyDescent="0.25">
      <c r="R318" s="74"/>
    </row>
    <row r="319" spans="18:18" ht="15.75" customHeight="1" x14ac:dyDescent="0.25">
      <c r="R319" s="74"/>
    </row>
    <row r="320" spans="18:18" ht="15.75" customHeight="1" x14ac:dyDescent="0.25">
      <c r="R320" s="74"/>
    </row>
    <row r="321" spans="18:18" ht="15.75" customHeight="1" x14ac:dyDescent="0.25">
      <c r="R321" s="74"/>
    </row>
    <row r="322" spans="18:18" ht="15.75" customHeight="1" x14ac:dyDescent="0.25">
      <c r="R322" s="74"/>
    </row>
    <row r="323" spans="18:18" ht="15.75" customHeight="1" x14ac:dyDescent="0.25">
      <c r="R323" s="74"/>
    </row>
    <row r="324" spans="18:18" ht="15.75" customHeight="1" x14ac:dyDescent="0.25">
      <c r="R324" s="74"/>
    </row>
    <row r="325" spans="18:18" ht="15.75" customHeight="1" x14ac:dyDescent="0.25">
      <c r="R325" s="74"/>
    </row>
    <row r="326" spans="18:18" ht="15.75" customHeight="1" x14ac:dyDescent="0.25">
      <c r="R326" s="74"/>
    </row>
    <row r="327" spans="18:18" ht="15.75" customHeight="1" x14ac:dyDescent="0.2"/>
    <row r="328" spans="18:18" ht="15.75" customHeight="1" x14ac:dyDescent="0.2"/>
    <row r="329" spans="18:18" ht="15.75" customHeight="1" x14ac:dyDescent="0.2"/>
    <row r="330" spans="18:18" ht="15.75" customHeight="1" x14ac:dyDescent="0.2"/>
    <row r="331" spans="18:18" ht="15.75" customHeight="1" x14ac:dyDescent="0.2"/>
    <row r="332" spans="18:18" ht="15.75" customHeight="1" x14ac:dyDescent="0.2"/>
    <row r="333" spans="18:18" ht="15.75" customHeight="1" x14ac:dyDescent="0.2"/>
    <row r="334" spans="18:18" ht="15.75" customHeight="1" x14ac:dyDescent="0.2"/>
    <row r="335" spans="18:18" ht="15.75" customHeight="1" x14ac:dyDescent="0.2"/>
    <row r="336" spans="18:18"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7">
    <mergeCell ref="D8:D9"/>
    <mergeCell ref="E8:E9"/>
    <mergeCell ref="F8:F9"/>
    <mergeCell ref="G8:G9"/>
    <mergeCell ref="B8:B9"/>
    <mergeCell ref="C8:C9"/>
    <mergeCell ref="B1:M1"/>
    <mergeCell ref="B2:M2"/>
    <mergeCell ref="B3:M3"/>
    <mergeCell ref="B5:O5"/>
    <mergeCell ref="B7:H7"/>
    <mergeCell ref="I7:O7"/>
    <mergeCell ref="H8:H9"/>
    <mergeCell ref="K8:L8"/>
    <mergeCell ref="M8:M9"/>
    <mergeCell ref="N8:N9"/>
    <mergeCell ref="O8:O9"/>
  </mergeCells>
  <dataValidations count="5">
    <dataValidation type="list" allowBlank="1" showErrorMessage="1" sqref="B10:B55">
      <formula1>#REF!</formula1>
    </dataValidation>
    <dataValidation type="list" allowBlank="1" showErrorMessage="1" sqref="J10:J55">
      <formula1>$R$117:$R$126</formula1>
    </dataValidation>
    <dataValidation type="list" allowBlank="1" showErrorMessage="1" sqref="C10:C55">
      <formula1>$R$13:$R$87</formula1>
    </dataValidation>
    <dataValidation type="list" allowBlank="1" showErrorMessage="1" sqref="E11:E55">
      <formula1>$S$12:$S$13</formula1>
    </dataValidation>
    <dataValidation type="list" allowBlank="1" showErrorMessage="1" sqref="E10">
      <formula1>$S$14:$S$15</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M1000"/>
  <sheetViews>
    <sheetView showGridLines="0" topLeftCell="B1" workbookViewId="0">
      <selection activeCell="I11" sqref="I11:I18"/>
    </sheetView>
  </sheetViews>
  <sheetFormatPr baseColWidth="10" defaultColWidth="14.42578125" defaultRowHeight="15" customHeight="1" x14ac:dyDescent="0.2"/>
  <cols>
    <col min="1" max="1" width="24.7109375" customWidth="1"/>
    <col min="2" max="2" width="44.5703125" customWidth="1"/>
    <col min="3" max="3" width="27.140625" customWidth="1"/>
    <col min="4" max="4" width="27" hidden="1" customWidth="1"/>
    <col min="5" max="6" width="15.7109375" customWidth="1"/>
    <col min="8" max="8" width="36.140625" customWidth="1"/>
    <col min="10" max="10" width="28.42578125" customWidth="1"/>
    <col min="11" max="11" width="22.85546875" customWidth="1"/>
    <col min="12" max="12" width="18.42578125" customWidth="1"/>
  </cols>
  <sheetData>
    <row r="1" spans="1:13" ht="12.75" x14ac:dyDescent="0.2">
      <c r="A1" s="53"/>
      <c r="B1" s="53"/>
      <c r="C1" s="54"/>
      <c r="D1" s="54"/>
      <c r="E1" s="54"/>
      <c r="F1" s="54"/>
      <c r="G1" s="54"/>
      <c r="H1" s="53"/>
      <c r="I1" s="53"/>
      <c r="J1" s="54"/>
      <c r="K1" s="54"/>
      <c r="L1" s="54"/>
      <c r="M1" s="54"/>
    </row>
    <row r="2" spans="1:13" ht="15.75" x14ac:dyDescent="0.25">
      <c r="A2" s="234" t="s">
        <v>35</v>
      </c>
      <c r="B2" s="219"/>
      <c r="C2" s="219"/>
      <c r="D2" s="219"/>
      <c r="E2" s="219"/>
      <c r="F2" s="219"/>
      <c r="G2" s="219"/>
      <c r="H2" s="219"/>
      <c r="I2" s="219"/>
      <c r="J2" s="219"/>
      <c r="K2" s="219"/>
      <c r="L2" s="219"/>
      <c r="M2" s="219"/>
    </row>
    <row r="3" spans="1:13" ht="15.75" x14ac:dyDescent="0.25">
      <c r="A3" s="235" t="s">
        <v>36</v>
      </c>
      <c r="B3" s="219"/>
      <c r="C3" s="219"/>
      <c r="D3" s="219"/>
      <c r="E3" s="219"/>
      <c r="F3" s="219"/>
      <c r="G3" s="219"/>
      <c r="H3" s="219"/>
      <c r="I3" s="219"/>
      <c r="J3" s="219"/>
      <c r="K3" s="219"/>
      <c r="L3" s="219"/>
      <c r="M3" s="219"/>
    </row>
    <row r="5" spans="1:13" x14ac:dyDescent="0.25">
      <c r="A5" s="58"/>
      <c r="B5" s="59"/>
      <c r="C5" s="94"/>
      <c r="D5" s="95"/>
      <c r="E5" s="94"/>
      <c r="F5" s="95"/>
      <c r="G5" s="95"/>
      <c r="H5" s="59"/>
      <c r="I5" s="59"/>
      <c r="J5" s="96"/>
      <c r="K5" s="96"/>
      <c r="L5" s="96"/>
      <c r="M5" s="96"/>
    </row>
    <row r="6" spans="1:13" x14ac:dyDescent="0.25">
      <c r="A6" s="243" t="s">
        <v>41</v>
      </c>
      <c r="B6" s="244" t="s">
        <v>42</v>
      </c>
      <c r="C6" s="254" t="s">
        <v>43</v>
      </c>
      <c r="D6" s="253" t="s">
        <v>164</v>
      </c>
      <c r="E6" s="241" t="s">
        <v>44</v>
      </c>
      <c r="F6" s="241" t="s">
        <v>165</v>
      </c>
      <c r="G6" s="253" t="s">
        <v>46</v>
      </c>
      <c r="H6" s="244" t="s">
        <v>166</v>
      </c>
      <c r="I6" s="244" t="s">
        <v>167</v>
      </c>
      <c r="J6" s="244" t="s">
        <v>49</v>
      </c>
      <c r="K6" s="219"/>
      <c r="L6" s="219"/>
      <c r="M6" s="219"/>
    </row>
    <row r="7" spans="1:13" ht="30" x14ac:dyDescent="0.25">
      <c r="A7" s="219"/>
      <c r="B7" s="219"/>
      <c r="C7" s="219"/>
      <c r="D7" s="219"/>
      <c r="E7" s="219"/>
      <c r="F7" s="219"/>
      <c r="G7" s="219"/>
      <c r="H7" s="219"/>
      <c r="I7" s="219"/>
      <c r="J7" s="95" t="s">
        <v>168</v>
      </c>
      <c r="K7" s="95" t="s">
        <v>169</v>
      </c>
      <c r="L7" s="94" t="s">
        <v>54</v>
      </c>
      <c r="M7" s="94" t="s">
        <v>55</v>
      </c>
    </row>
    <row r="8" spans="1:13" ht="51" x14ac:dyDescent="0.2">
      <c r="A8" s="63" t="s">
        <v>170</v>
      </c>
      <c r="B8" s="63" t="s">
        <v>171</v>
      </c>
      <c r="C8" s="64"/>
      <c r="D8" s="64"/>
      <c r="E8" s="66">
        <v>10000000</v>
      </c>
      <c r="F8" s="66">
        <v>8000000</v>
      </c>
      <c r="G8" s="67" t="s">
        <v>172</v>
      </c>
      <c r="H8" s="63" t="s">
        <v>173</v>
      </c>
      <c r="I8" s="66">
        <v>3000000</v>
      </c>
      <c r="J8" s="66">
        <v>3000000</v>
      </c>
      <c r="K8" s="66"/>
      <c r="L8" s="66"/>
      <c r="M8" s="66"/>
    </row>
    <row r="9" spans="1:13" ht="12.75" x14ac:dyDescent="0.2">
      <c r="A9" s="70"/>
      <c r="B9" s="70"/>
      <c r="C9" s="64"/>
      <c r="D9" s="64"/>
      <c r="E9" s="64"/>
      <c r="F9" s="64"/>
      <c r="G9" s="69"/>
      <c r="H9" s="97" t="s">
        <v>174</v>
      </c>
      <c r="I9" s="66">
        <v>5000000</v>
      </c>
      <c r="J9" s="64"/>
      <c r="K9" s="66">
        <v>5000000</v>
      </c>
      <c r="L9" s="64"/>
      <c r="M9" s="64"/>
    </row>
    <row r="10" spans="1:13" ht="12.75" x14ac:dyDescent="0.2">
      <c r="A10" s="70"/>
      <c r="B10" s="70"/>
      <c r="C10" s="64"/>
      <c r="D10" s="64"/>
      <c r="E10" s="66"/>
      <c r="F10" s="64"/>
      <c r="G10" s="69"/>
      <c r="H10" s="63"/>
      <c r="I10" s="66"/>
      <c r="J10" s="66"/>
      <c r="K10" s="66"/>
      <c r="L10" s="66"/>
      <c r="M10" s="66"/>
    </row>
    <row r="11" spans="1:13" ht="51" x14ac:dyDescent="0.2">
      <c r="A11" s="63" t="s">
        <v>175</v>
      </c>
      <c r="B11" s="63" t="s">
        <v>176</v>
      </c>
      <c r="C11" s="98" t="s">
        <v>177</v>
      </c>
      <c r="D11" s="64"/>
      <c r="E11" s="66">
        <v>112000000</v>
      </c>
      <c r="F11" s="66">
        <v>112000000</v>
      </c>
      <c r="G11" s="67" t="s">
        <v>178</v>
      </c>
      <c r="H11" s="63" t="s">
        <v>173</v>
      </c>
      <c r="I11" s="66">
        <v>12000000</v>
      </c>
      <c r="J11" s="66">
        <v>11000000</v>
      </c>
      <c r="K11" s="66">
        <v>1000000</v>
      </c>
      <c r="L11" s="64"/>
      <c r="M11" s="64"/>
    </row>
    <row r="12" spans="1:13" ht="12.75" x14ac:dyDescent="0.2">
      <c r="A12" s="63"/>
      <c r="B12" s="63"/>
      <c r="C12" s="64"/>
      <c r="D12" s="64"/>
      <c r="E12" s="64"/>
      <c r="F12" s="64"/>
      <c r="G12" s="69"/>
      <c r="H12" s="63" t="s">
        <v>179</v>
      </c>
      <c r="I12" s="66">
        <v>20000000</v>
      </c>
      <c r="J12" s="66">
        <v>20000000</v>
      </c>
      <c r="K12" s="66"/>
      <c r="L12" s="66"/>
      <c r="M12" s="66"/>
    </row>
    <row r="13" spans="1:13" ht="12.75" x14ac:dyDescent="0.2">
      <c r="A13" s="63"/>
      <c r="B13" s="63"/>
      <c r="C13" s="64"/>
      <c r="D13" s="64"/>
      <c r="E13" s="64"/>
      <c r="F13" s="64"/>
      <c r="G13" s="69"/>
      <c r="H13" s="63" t="s">
        <v>180</v>
      </c>
      <c r="I13" s="66">
        <v>32000000</v>
      </c>
      <c r="J13" s="66">
        <v>32000000</v>
      </c>
      <c r="K13" s="64"/>
      <c r="L13" s="64"/>
      <c r="M13" s="64"/>
    </row>
    <row r="14" spans="1:13" ht="12.75" x14ac:dyDescent="0.2">
      <c r="A14" s="70"/>
      <c r="B14" s="70"/>
      <c r="C14" s="64"/>
      <c r="D14" s="64"/>
      <c r="E14" s="64"/>
      <c r="F14" s="64"/>
      <c r="G14" s="69"/>
      <c r="H14" s="63" t="s">
        <v>181</v>
      </c>
      <c r="I14" s="66">
        <v>8000000</v>
      </c>
      <c r="J14" s="70"/>
      <c r="K14" s="64"/>
      <c r="L14" s="66">
        <v>8000000</v>
      </c>
      <c r="M14" s="64"/>
    </row>
    <row r="15" spans="1:13" ht="12.75" x14ac:dyDescent="0.2">
      <c r="A15" s="70"/>
      <c r="B15" s="70"/>
      <c r="C15" s="64"/>
      <c r="D15" s="64"/>
      <c r="E15" s="64"/>
      <c r="F15" s="64"/>
      <c r="G15" s="69"/>
      <c r="H15" s="97" t="s">
        <v>174</v>
      </c>
      <c r="I15" s="66">
        <v>20000000</v>
      </c>
      <c r="J15" s="66"/>
      <c r="K15" s="66">
        <v>20000000</v>
      </c>
      <c r="L15" s="66"/>
      <c r="M15" s="66"/>
    </row>
    <row r="16" spans="1:13" ht="12.75" x14ac:dyDescent="0.2">
      <c r="A16" s="70"/>
      <c r="B16" s="70"/>
      <c r="C16" s="64"/>
      <c r="D16" s="64"/>
      <c r="E16" s="64"/>
      <c r="F16" s="64"/>
      <c r="G16" s="69"/>
      <c r="H16" s="70" t="s">
        <v>182</v>
      </c>
      <c r="I16" s="66">
        <v>13000000</v>
      </c>
      <c r="J16" s="66">
        <v>13000000</v>
      </c>
      <c r="K16" s="66"/>
      <c r="L16" s="66"/>
      <c r="M16" s="66"/>
    </row>
    <row r="17" spans="1:13" ht="12.75" x14ac:dyDescent="0.2">
      <c r="A17" s="70"/>
      <c r="B17" s="70"/>
      <c r="C17" s="64"/>
      <c r="D17" s="64"/>
      <c r="E17" s="64"/>
      <c r="F17" s="64"/>
      <c r="G17" s="69"/>
      <c r="H17" s="70" t="s">
        <v>183</v>
      </c>
      <c r="I17" s="66">
        <v>6000000</v>
      </c>
      <c r="J17" s="66"/>
      <c r="K17" s="66">
        <v>6000000</v>
      </c>
      <c r="L17" s="66"/>
      <c r="M17" s="66"/>
    </row>
    <row r="18" spans="1:13" ht="12.75" x14ac:dyDescent="0.2">
      <c r="A18" s="70"/>
      <c r="B18" s="70"/>
      <c r="C18" s="64"/>
      <c r="D18" s="64"/>
      <c r="E18" s="64"/>
      <c r="F18" s="64"/>
      <c r="G18" s="69"/>
      <c r="H18" s="63" t="s">
        <v>55</v>
      </c>
      <c r="I18" s="66">
        <v>1000000</v>
      </c>
      <c r="J18" s="66"/>
      <c r="K18" s="66"/>
      <c r="L18" s="66"/>
      <c r="M18" s="66">
        <v>1000000</v>
      </c>
    </row>
    <row r="19" spans="1:13" ht="12.75" x14ac:dyDescent="0.2">
      <c r="A19" s="70"/>
      <c r="B19" s="70"/>
      <c r="C19" s="64"/>
      <c r="D19" s="64"/>
      <c r="E19" s="64"/>
      <c r="F19" s="64"/>
      <c r="G19" s="69"/>
      <c r="H19" s="97"/>
      <c r="I19" s="66"/>
      <c r="J19" s="66"/>
      <c r="K19" s="66"/>
      <c r="L19" s="66"/>
      <c r="M19" s="66"/>
    </row>
    <row r="20" spans="1:13" ht="12.75" x14ac:dyDescent="0.2">
      <c r="A20" s="70"/>
      <c r="B20" s="70"/>
      <c r="C20" s="64"/>
      <c r="D20" s="64"/>
      <c r="E20" s="64"/>
      <c r="F20" s="64"/>
      <c r="G20" s="69"/>
      <c r="H20" s="70"/>
      <c r="I20" s="66"/>
      <c r="J20" s="66"/>
      <c r="K20" s="66"/>
      <c r="L20" s="66"/>
      <c r="M20" s="66"/>
    </row>
    <row r="21" spans="1:13" ht="15.75" customHeight="1" x14ac:dyDescent="0.2">
      <c r="A21" s="70"/>
      <c r="B21" s="70"/>
      <c r="C21" s="64"/>
      <c r="D21" s="64"/>
      <c r="E21" s="64"/>
      <c r="F21" s="64"/>
      <c r="G21" s="69"/>
      <c r="H21" s="70"/>
      <c r="I21" s="64"/>
      <c r="J21" s="64"/>
      <c r="K21" s="64"/>
      <c r="L21" s="64"/>
      <c r="M21" s="64"/>
    </row>
    <row r="22" spans="1:13" ht="15.75" customHeight="1" x14ac:dyDescent="0.2">
      <c r="A22" s="71" t="s">
        <v>32</v>
      </c>
      <c r="B22" s="71"/>
      <c r="C22" s="71"/>
      <c r="D22" s="71"/>
      <c r="E22" s="72"/>
      <c r="F22" s="72">
        <f>SUM(F8:F21)</f>
        <v>120000000</v>
      </c>
      <c r="G22" s="71" t="s">
        <v>0</v>
      </c>
      <c r="H22" s="71" t="s">
        <v>0</v>
      </c>
      <c r="I22" s="72">
        <f t="shared" ref="I22:M22" si="0">SUM(I8:I21)</f>
        <v>120000000</v>
      </c>
      <c r="J22" s="72">
        <f t="shared" si="0"/>
        <v>79000000</v>
      </c>
      <c r="K22" s="72">
        <f t="shared" si="0"/>
        <v>32000000</v>
      </c>
      <c r="L22" s="72">
        <f t="shared" si="0"/>
        <v>8000000</v>
      </c>
      <c r="M22" s="72">
        <f t="shared" si="0"/>
        <v>1000000</v>
      </c>
    </row>
    <row r="23" spans="1:13" ht="15.75" customHeight="1" x14ac:dyDescent="0.2"/>
    <row r="24" spans="1:13" ht="15.75" customHeight="1" x14ac:dyDescent="0.2"/>
    <row r="25" spans="1:13" ht="15.75" customHeight="1" x14ac:dyDescent="0.2"/>
    <row r="26" spans="1:13" ht="15.75" customHeight="1" x14ac:dyDescent="0.2"/>
    <row r="27" spans="1:13" ht="15.75" customHeight="1" x14ac:dyDescent="0.2"/>
    <row r="28" spans="1:13" ht="15.75" customHeight="1" x14ac:dyDescent="0.2"/>
    <row r="29" spans="1:13" ht="15.75" customHeight="1" x14ac:dyDescent="0.2"/>
    <row r="30" spans="1:13" ht="15.75" customHeight="1" x14ac:dyDescent="0.2"/>
    <row r="31" spans="1:13" ht="15.75" customHeight="1" x14ac:dyDescent="0.2"/>
    <row r="32" spans="1: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F6:F7"/>
    <mergeCell ref="G6:G7"/>
    <mergeCell ref="H6:H7"/>
    <mergeCell ref="I6:I7"/>
    <mergeCell ref="A2:M2"/>
    <mergeCell ref="A3:M3"/>
    <mergeCell ref="A6:A7"/>
    <mergeCell ref="B6:B7"/>
    <mergeCell ref="C6:C7"/>
    <mergeCell ref="D6:D7"/>
    <mergeCell ref="E6:E7"/>
    <mergeCell ref="J6:M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R1000"/>
  <sheetViews>
    <sheetView showGridLines="0" workbookViewId="0">
      <pane ySplit="8" topLeftCell="A9" activePane="bottomLeft" state="frozen"/>
      <selection pane="bottomLeft" activeCell="B10" sqref="B10"/>
    </sheetView>
  </sheetViews>
  <sheetFormatPr baseColWidth="10" defaultColWidth="14.42578125" defaultRowHeight="15" customHeight="1" x14ac:dyDescent="0.2"/>
  <cols>
    <col min="1" max="1" width="1.5703125" customWidth="1"/>
    <col min="2" max="2" width="16.42578125" customWidth="1"/>
    <col min="3" max="3" width="17.5703125" customWidth="1"/>
    <col min="4" max="4" width="35.5703125" customWidth="1"/>
    <col min="5" max="5" width="16.28515625" customWidth="1"/>
    <col min="6" max="7" width="18.7109375" customWidth="1"/>
    <col min="8" max="8" width="18.85546875" customWidth="1"/>
    <col min="9" max="9" width="16.7109375" customWidth="1"/>
    <col min="10" max="10" width="19.85546875" customWidth="1"/>
    <col min="11" max="11" width="18.85546875" customWidth="1"/>
    <col min="12" max="14" width="18.7109375" customWidth="1"/>
    <col min="15" max="15" width="30.7109375" customWidth="1"/>
    <col min="16" max="17" width="10.7109375" customWidth="1"/>
    <col min="18" max="18" width="10.7109375" hidden="1" customWidth="1"/>
  </cols>
  <sheetData>
    <row r="1" spans="2:18" x14ac:dyDescent="0.25">
      <c r="L1" s="99"/>
      <c r="R1" s="74"/>
    </row>
    <row r="2" spans="2:18" ht="15.75" x14ac:dyDescent="0.25">
      <c r="B2" s="248" t="s">
        <v>56</v>
      </c>
      <c r="C2" s="219"/>
      <c r="D2" s="219"/>
      <c r="E2" s="219"/>
      <c r="F2" s="219"/>
      <c r="G2" s="219"/>
      <c r="H2" s="219"/>
      <c r="I2" s="219"/>
      <c r="J2" s="219"/>
      <c r="K2" s="219"/>
      <c r="L2" s="219"/>
      <c r="M2" s="219"/>
      <c r="R2" s="74"/>
    </row>
    <row r="3" spans="2:18" ht="15.75" x14ac:dyDescent="0.25">
      <c r="B3" s="248" t="s">
        <v>184</v>
      </c>
      <c r="C3" s="219"/>
      <c r="D3" s="219"/>
      <c r="E3" s="219"/>
      <c r="F3" s="219"/>
      <c r="G3" s="219"/>
      <c r="H3" s="219"/>
      <c r="I3" s="219"/>
      <c r="J3" s="219"/>
      <c r="K3" s="219"/>
      <c r="L3" s="219"/>
      <c r="M3" s="219"/>
      <c r="R3" s="74"/>
    </row>
    <row r="4" spans="2:18" ht="15.75" x14ac:dyDescent="0.25">
      <c r="B4" s="248" t="s">
        <v>185</v>
      </c>
      <c r="C4" s="219"/>
      <c r="D4" s="219"/>
      <c r="E4" s="219"/>
      <c r="F4" s="219"/>
      <c r="G4" s="219"/>
      <c r="H4" s="219"/>
      <c r="I4" s="219"/>
      <c r="J4" s="219"/>
      <c r="K4" s="219"/>
      <c r="L4" s="219"/>
      <c r="M4" s="219"/>
      <c r="R4" s="74"/>
    </row>
    <row r="5" spans="2:18" x14ac:dyDescent="0.25">
      <c r="B5" s="76"/>
      <c r="C5" s="76"/>
      <c r="D5" s="76"/>
      <c r="E5" s="76"/>
      <c r="F5" s="77"/>
      <c r="G5" s="77"/>
      <c r="H5" s="77"/>
      <c r="I5" s="77"/>
      <c r="J5" s="78"/>
      <c r="K5" s="78"/>
      <c r="L5" s="100"/>
      <c r="M5" s="78"/>
      <c r="R5" s="74"/>
    </row>
    <row r="6" spans="2:18" ht="15.75" x14ac:dyDescent="0.25">
      <c r="B6" s="238" t="s">
        <v>39</v>
      </c>
      <c r="C6" s="239"/>
      <c r="D6" s="239"/>
      <c r="E6" s="239"/>
      <c r="F6" s="239"/>
      <c r="G6" s="239"/>
      <c r="H6" s="240"/>
      <c r="I6" s="238" t="s">
        <v>40</v>
      </c>
      <c r="J6" s="239"/>
      <c r="K6" s="239"/>
      <c r="L6" s="239"/>
      <c r="M6" s="239"/>
      <c r="N6" s="239"/>
      <c r="O6" s="240"/>
      <c r="R6" s="74"/>
    </row>
    <row r="7" spans="2:18" ht="15" customHeight="1" x14ac:dyDescent="0.25">
      <c r="B7" s="252" t="s">
        <v>60</v>
      </c>
      <c r="C7" s="245" t="s">
        <v>186</v>
      </c>
      <c r="D7" s="245" t="s">
        <v>187</v>
      </c>
      <c r="E7" s="245" t="s">
        <v>63</v>
      </c>
      <c r="F7" s="245" t="s">
        <v>64</v>
      </c>
      <c r="G7" s="245" t="s">
        <v>44</v>
      </c>
      <c r="H7" s="245" t="s">
        <v>65</v>
      </c>
      <c r="I7" s="79"/>
      <c r="J7" s="79"/>
      <c r="K7" s="257" t="s">
        <v>66</v>
      </c>
      <c r="L7" s="240"/>
      <c r="M7" s="232" t="s">
        <v>67</v>
      </c>
      <c r="N7" s="232" t="s">
        <v>50</v>
      </c>
      <c r="O7" s="232" t="s">
        <v>51</v>
      </c>
      <c r="R7" s="74"/>
    </row>
    <row r="8" spans="2:18" ht="44.25" customHeight="1" x14ac:dyDescent="0.25">
      <c r="B8" s="233"/>
      <c r="C8" s="233"/>
      <c r="D8" s="233"/>
      <c r="E8" s="233"/>
      <c r="F8" s="233"/>
      <c r="G8" s="233"/>
      <c r="H8" s="233"/>
      <c r="I8" s="80" t="s">
        <v>68</v>
      </c>
      <c r="J8" s="81" t="s">
        <v>69</v>
      </c>
      <c r="K8" s="82" t="s">
        <v>70</v>
      </c>
      <c r="L8" s="101" t="s">
        <v>71</v>
      </c>
      <c r="M8" s="233"/>
      <c r="N8" s="233"/>
      <c r="O8" s="233"/>
      <c r="R8" s="74" t="s">
        <v>72</v>
      </c>
    </row>
    <row r="9" spans="2:18" ht="99" customHeight="1" x14ac:dyDescent="0.25">
      <c r="B9" s="83" t="s">
        <v>73</v>
      </c>
      <c r="C9" s="83" t="s">
        <v>94</v>
      </c>
      <c r="D9" s="83" t="s">
        <v>188</v>
      </c>
      <c r="E9" s="84" t="s">
        <v>76</v>
      </c>
      <c r="F9" s="85">
        <v>6449.5550000000003</v>
      </c>
      <c r="G9" s="85">
        <v>6000</v>
      </c>
      <c r="H9" s="85">
        <v>5000</v>
      </c>
      <c r="I9" s="86">
        <v>1</v>
      </c>
      <c r="J9" s="68" t="s">
        <v>154</v>
      </c>
      <c r="K9" s="87">
        <v>1000</v>
      </c>
      <c r="L9" s="87">
        <v>0</v>
      </c>
      <c r="M9" s="87">
        <f t="shared" ref="M9:M12" si="0">+K9+L9</f>
        <v>1000</v>
      </c>
      <c r="N9" s="89"/>
      <c r="O9" s="90"/>
      <c r="R9" s="74" t="s">
        <v>73</v>
      </c>
    </row>
    <row r="10" spans="2:18" x14ac:dyDescent="0.25">
      <c r="B10" s="83"/>
      <c r="C10" s="83"/>
      <c r="D10" s="83"/>
      <c r="E10" s="84"/>
      <c r="F10" s="85"/>
      <c r="G10" s="85"/>
      <c r="H10" s="85"/>
      <c r="I10" s="86">
        <v>2</v>
      </c>
      <c r="J10" s="68" t="s">
        <v>155</v>
      </c>
      <c r="K10" s="87">
        <v>3000</v>
      </c>
      <c r="L10" s="87">
        <v>0</v>
      </c>
      <c r="M10" s="87">
        <f t="shared" si="0"/>
        <v>3000</v>
      </c>
      <c r="N10" s="89"/>
      <c r="O10" s="90"/>
      <c r="R10" s="74" t="s">
        <v>74</v>
      </c>
    </row>
    <row r="11" spans="2:18" ht="25.5" x14ac:dyDescent="0.25">
      <c r="B11" s="83"/>
      <c r="C11" s="83"/>
      <c r="D11" s="83"/>
      <c r="E11" s="84"/>
      <c r="F11" s="85"/>
      <c r="G11" s="85"/>
      <c r="H11" s="85"/>
      <c r="I11" s="86">
        <v>2</v>
      </c>
      <c r="J11" s="68" t="s">
        <v>156</v>
      </c>
      <c r="K11" s="87">
        <v>500</v>
      </c>
      <c r="L11" s="87"/>
      <c r="M11" s="87">
        <f t="shared" si="0"/>
        <v>500</v>
      </c>
      <c r="N11" s="89"/>
      <c r="O11" s="90"/>
      <c r="R11" s="74"/>
    </row>
    <row r="12" spans="2:18" x14ac:dyDescent="0.25">
      <c r="B12" s="83"/>
      <c r="C12" s="83"/>
      <c r="D12" s="83"/>
      <c r="E12" s="84"/>
      <c r="F12" s="85"/>
      <c r="G12" s="85"/>
      <c r="H12" s="85"/>
      <c r="I12" s="102" t="s">
        <v>189</v>
      </c>
      <c r="J12" s="68"/>
      <c r="K12" s="103">
        <f t="shared" ref="K12:L12" si="1">SUM(K9:K11)</f>
        <v>4500</v>
      </c>
      <c r="L12" s="87">
        <f t="shared" si="1"/>
        <v>0</v>
      </c>
      <c r="M12" s="103">
        <f t="shared" si="0"/>
        <v>4500</v>
      </c>
      <c r="N12" s="103">
        <f>+H9-M12</f>
        <v>500</v>
      </c>
      <c r="O12" s="90"/>
      <c r="R12" s="74"/>
    </row>
    <row r="13" spans="2:18" x14ac:dyDescent="0.25">
      <c r="B13" s="83"/>
      <c r="C13" s="83"/>
      <c r="D13" s="83"/>
      <c r="E13" s="84"/>
      <c r="F13" s="85"/>
      <c r="G13" s="85"/>
      <c r="H13" s="85"/>
      <c r="I13" s="86"/>
      <c r="J13" s="68"/>
      <c r="K13" s="87"/>
      <c r="L13" s="87"/>
      <c r="M13" s="87"/>
      <c r="N13" s="89"/>
      <c r="O13" s="90"/>
      <c r="R13" s="74" t="s">
        <v>75</v>
      </c>
    </row>
    <row r="14" spans="2:18" ht="204" x14ac:dyDescent="0.25">
      <c r="B14" s="83" t="s">
        <v>73</v>
      </c>
      <c r="C14" s="83" t="s">
        <v>94</v>
      </c>
      <c r="D14" s="83" t="s">
        <v>190</v>
      </c>
      <c r="E14" s="84" t="s">
        <v>78</v>
      </c>
      <c r="F14" s="85">
        <v>2386.5</v>
      </c>
      <c r="G14" s="85">
        <v>2000</v>
      </c>
      <c r="H14" s="85">
        <v>2000</v>
      </c>
      <c r="I14" s="86">
        <v>1</v>
      </c>
      <c r="J14" s="68" t="s">
        <v>191</v>
      </c>
      <c r="K14" s="87">
        <v>500</v>
      </c>
      <c r="L14" s="87">
        <v>0</v>
      </c>
      <c r="M14" s="87">
        <f t="shared" ref="M14:M16" si="2">+K14+L14</f>
        <v>500</v>
      </c>
      <c r="N14" s="89"/>
      <c r="O14" s="90" t="s">
        <v>192</v>
      </c>
      <c r="R14" s="92" t="s">
        <v>77</v>
      </c>
    </row>
    <row r="15" spans="2:18" x14ac:dyDescent="0.25">
      <c r="B15" s="83"/>
      <c r="C15" s="83"/>
      <c r="D15" s="83"/>
      <c r="E15" s="84"/>
      <c r="F15" s="85"/>
      <c r="G15" s="85"/>
      <c r="H15" s="85"/>
      <c r="I15" s="86">
        <v>2</v>
      </c>
      <c r="J15" s="68" t="s">
        <v>159</v>
      </c>
      <c r="K15" s="87">
        <v>0</v>
      </c>
      <c r="L15" s="104">
        <v>1300</v>
      </c>
      <c r="M15" s="87">
        <f t="shared" si="2"/>
        <v>1300</v>
      </c>
      <c r="N15" s="89"/>
      <c r="O15" s="90"/>
      <c r="R15" s="92" t="s">
        <v>79</v>
      </c>
    </row>
    <row r="16" spans="2:18" x14ac:dyDescent="0.25">
      <c r="B16" s="83"/>
      <c r="C16" s="83"/>
      <c r="D16" s="83"/>
      <c r="E16" s="84"/>
      <c r="F16" s="85"/>
      <c r="G16" s="85"/>
      <c r="H16" s="85"/>
      <c r="I16" s="102" t="s">
        <v>189</v>
      </c>
      <c r="J16" s="105"/>
      <c r="K16" s="103">
        <f t="shared" ref="K16:L16" si="3">SUM(K14:K15)</f>
        <v>500</v>
      </c>
      <c r="L16" s="106">
        <f t="shared" si="3"/>
        <v>1300</v>
      </c>
      <c r="M16" s="103">
        <f t="shared" si="2"/>
        <v>1800</v>
      </c>
      <c r="N16" s="107">
        <f>+H14-M16</f>
        <v>200</v>
      </c>
      <c r="O16" s="90"/>
      <c r="R16" s="92" t="s">
        <v>80</v>
      </c>
    </row>
    <row r="17" spans="2:18" x14ac:dyDescent="0.25">
      <c r="B17" s="83"/>
      <c r="C17" s="83"/>
      <c r="D17" s="83"/>
      <c r="E17" s="84"/>
      <c r="F17" s="85"/>
      <c r="G17" s="85"/>
      <c r="H17" s="85"/>
      <c r="I17" s="86"/>
      <c r="J17" s="68"/>
      <c r="K17" s="87"/>
      <c r="L17" s="104"/>
      <c r="M17" s="87"/>
      <c r="N17" s="89"/>
      <c r="O17" s="90"/>
      <c r="R17" s="92" t="s">
        <v>81</v>
      </c>
    </row>
    <row r="18" spans="2:18" ht="45" x14ac:dyDescent="0.25">
      <c r="B18" s="108"/>
      <c r="C18" s="108"/>
      <c r="D18" s="109" t="s">
        <v>193</v>
      </c>
      <c r="E18" s="110"/>
      <c r="F18" s="111"/>
      <c r="G18" s="111"/>
      <c r="H18" s="111">
        <f>SUM(H9:H17)</f>
        <v>7000</v>
      </c>
      <c r="I18" s="112" t="s">
        <v>194</v>
      </c>
      <c r="J18" s="113"/>
      <c r="K18" s="114"/>
      <c r="L18" s="115"/>
      <c r="M18" s="114">
        <f>+M16+M12</f>
        <v>6300</v>
      </c>
      <c r="N18" s="114">
        <f>+H18-M18</f>
        <v>700</v>
      </c>
      <c r="O18" s="116"/>
      <c r="R18" s="92" t="s">
        <v>82</v>
      </c>
    </row>
    <row r="19" spans="2:18" x14ac:dyDescent="0.25">
      <c r="B19" s="117"/>
      <c r="C19" s="117"/>
      <c r="D19" s="118"/>
      <c r="E19" s="119"/>
      <c r="F19" s="120"/>
      <c r="G19" s="120"/>
      <c r="H19" s="120"/>
      <c r="I19" s="121"/>
      <c r="J19" s="122"/>
      <c r="K19" s="1"/>
      <c r="L19" s="123"/>
      <c r="M19" s="1"/>
      <c r="N19" s="124"/>
      <c r="O19" s="125"/>
      <c r="R19" s="92" t="s">
        <v>83</v>
      </c>
    </row>
    <row r="20" spans="2:18" x14ac:dyDescent="0.25">
      <c r="B20" s="117"/>
      <c r="C20" s="117"/>
      <c r="D20" s="118"/>
      <c r="E20" s="119"/>
      <c r="F20" s="120"/>
      <c r="G20" s="120"/>
      <c r="H20" s="120"/>
      <c r="I20" s="121"/>
      <c r="J20" s="122"/>
      <c r="K20" s="1"/>
      <c r="L20" s="123"/>
      <c r="M20" s="1"/>
      <c r="N20" s="124"/>
      <c r="O20" s="125"/>
      <c r="R20" s="92" t="s">
        <v>84</v>
      </c>
    </row>
    <row r="21" spans="2:18" ht="15.75" customHeight="1" x14ac:dyDescent="0.25">
      <c r="B21" s="117"/>
      <c r="C21" s="117"/>
      <c r="D21" s="118"/>
      <c r="E21" s="119"/>
      <c r="F21" s="120"/>
      <c r="G21" s="120"/>
      <c r="H21" s="120"/>
      <c r="I21" s="121"/>
      <c r="J21" s="122"/>
      <c r="K21" s="1"/>
      <c r="L21" s="123"/>
      <c r="M21" s="1"/>
      <c r="N21" s="124"/>
      <c r="O21" s="125"/>
      <c r="R21" s="92" t="s">
        <v>85</v>
      </c>
    </row>
    <row r="22" spans="2:18" ht="15.75" customHeight="1" x14ac:dyDescent="0.25">
      <c r="B22" s="117"/>
      <c r="C22" s="117"/>
      <c r="D22" s="118"/>
      <c r="E22" s="119"/>
      <c r="F22" s="120"/>
      <c r="G22" s="120"/>
      <c r="H22" s="120"/>
      <c r="I22" s="121"/>
      <c r="J22" s="122"/>
      <c r="K22" s="1"/>
      <c r="L22" s="123"/>
      <c r="M22" s="1"/>
      <c r="N22" s="124"/>
      <c r="O22" s="125"/>
      <c r="R22" s="92" t="s">
        <v>86</v>
      </c>
    </row>
    <row r="23" spans="2:18" ht="15.75" customHeight="1" x14ac:dyDescent="0.25">
      <c r="B23" s="117"/>
      <c r="C23" s="117"/>
      <c r="D23" s="118"/>
      <c r="E23" s="119"/>
      <c r="F23" s="120"/>
      <c r="G23" s="120"/>
      <c r="H23" s="120"/>
      <c r="I23" s="121"/>
      <c r="J23" s="122"/>
      <c r="K23" s="1"/>
      <c r="L23" s="123"/>
      <c r="M23" s="1"/>
      <c r="N23" s="124"/>
      <c r="O23" s="125"/>
      <c r="R23" s="92" t="s">
        <v>87</v>
      </c>
    </row>
    <row r="24" spans="2:18" ht="15.75" customHeight="1" x14ac:dyDescent="0.25">
      <c r="B24" s="117"/>
      <c r="C24" s="117"/>
      <c r="D24" s="118"/>
      <c r="E24" s="119"/>
      <c r="F24" s="120"/>
      <c r="G24" s="120"/>
      <c r="H24" s="120"/>
      <c r="I24" s="121"/>
      <c r="J24" s="122"/>
      <c r="K24" s="1"/>
      <c r="L24" s="123"/>
      <c r="M24" s="1"/>
      <c r="N24" s="124"/>
      <c r="O24" s="125"/>
      <c r="R24" s="92" t="s">
        <v>88</v>
      </c>
    </row>
    <row r="25" spans="2:18" ht="15.75" customHeight="1" x14ac:dyDescent="0.25">
      <c r="B25" s="117"/>
      <c r="C25" s="117"/>
      <c r="D25" s="118"/>
      <c r="E25" s="119"/>
      <c r="F25" s="120"/>
      <c r="G25" s="120"/>
      <c r="H25" s="120"/>
      <c r="I25" s="121"/>
      <c r="J25" s="122"/>
      <c r="K25" s="1"/>
      <c r="L25" s="123"/>
      <c r="M25" s="1"/>
      <c r="N25" s="124"/>
      <c r="O25" s="125"/>
      <c r="R25" s="92" t="s">
        <v>89</v>
      </c>
    </row>
    <row r="26" spans="2:18" ht="15.75" customHeight="1" x14ac:dyDescent="0.25">
      <c r="B26" s="117"/>
      <c r="C26" s="117"/>
      <c r="D26" s="118"/>
      <c r="E26" s="119"/>
      <c r="F26" s="120"/>
      <c r="G26" s="120"/>
      <c r="H26" s="120"/>
      <c r="I26" s="121"/>
      <c r="J26" s="122"/>
      <c r="K26" s="1"/>
      <c r="L26" s="123"/>
      <c r="M26" s="1"/>
      <c r="N26" s="124"/>
      <c r="O26" s="125"/>
      <c r="R26" s="92" t="s">
        <v>90</v>
      </c>
    </row>
    <row r="27" spans="2:18" ht="15.75" customHeight="1" x14ac:dyDescent="0.25">
      <c r="B27" s="117"/>
      <c r="C27" s="117"/>
      <c r="D27" s="118"/>
      <c r="E27" s="119"/>
      <c r="F27" s="120"/>
      <c r="G27" s="120"/>
      <c r="H27" s="120"/>
      <c r="I27" s="121"/>
      <c r="J27" s="122"/>
      <c r="K27" s="1"/>
      <c r="L27" s="123"/>
      <c r="M27" s="1"/>
      <c r="N27" s="124"/>
      <c r="O27" s="125"/>
      <c r="R27" s="92" t="s">
        <v>91</v>
      </c>
    </row>
    <row r="28" spans="2:18" ht="15.75" customHeight="1" x14ac:dyDescent="0.25">
      <c r="B28" s="117"/>
      <c r="C28" s="117"/>
      <c r="D28" s="118"/>
      <c r="E28" s="119"/>
      <c r="F28" s="120"/>
      <c r="G28" s="120"/>
      <c r="H28" s="120"/>
      <c r="I28" s="121"/>
      <c r="J28" s="122"/>
      <c r="K28" s="1"/>
      <c r="L28" s="123"/>
      <c r="M28" s="1"/>
      <c r="N28" s="124"/>
      <c r="O28" s="125"/>
      <c r="R28" s="92" t="s">
        <v>92</v>
      </c>
    </row>
    <row r="29" spans="2:18" ht="15.75" customHeight="1" x14ac:dyDescent="0.25">
      <c r="B29" s="117"/>
      <c r="C29" s="117"/>
      <c r="D29" s="118"/>
      <c r="E29" s="119"/>
      <c r="F29" s="120"/>
      <c r="G29" s="120"/>
      <c r="H29" s="120"/>
      <c r="I29" s="121"/>
      <c r="J29" s="122"/>
      <c r="K29" s="1"/>
      <c r="L29" s="123"/>
      <c r="M29" s="1"/>
      <c r="N29" s="124"/>
      <c r="O29" s="125"/>
      <c r="R29" s="92" t="s">
        <v>93</v>
      </c>
    </row>
    <row r="30" spans="2:18" ht="15.75" customHeight="1" x14ac:dyDescent="0.25">
      <c r="B30" s="117"/>
      <c r="C30" s="117"/>
      <c r="D30" s="118"/>
      <c r="E30" s="119"/>
      <c r="F30" s="120"/>
      <c r="G30" s="120"/>
      <c r="H30" s="120"/>
      <c r="I30" s="121"/>
      <c r="J30" s="122"/>
      <c r="K30" s="1"/>
      <c r="L30" s="123"/>
      <c r="M30" s="1"/>
      <c r="N30" s="124"/>
      <c r="O30" s="125"/>
      <c r="R30" s="92" t="s">
        <v>94</v>
      </c>
    </row>
    <row r="31" spans="2:18" ht="15.75" customHeight="1" x14ac:dyDescent="0.25">
      <c r="B31" s="117"/>
      <c r="C31" s="117"/>
      <c r="D31" s="118"/>
      <c r="E31" s="119"/>
      <c r="F31" s="120"/>
      <c r="G31" s="120"/>
      <c r="H31" s="120"/>
      <c r="I31" s="121"/>
      <c r="J31" s="122"/>
      <c r="K31" s="1"/>
      <c r="L31" s="123"/>
      <c r="M31" s="1"/>
      <c r="N31" s="124"/>
      <c r="O31" s="125"/>
      <c r="R31" s="92" t="s">
        <v>95</v>
      </c>
    </row>
    <row r="32" spans="2:18" ht="15.75" customHeight="1" x14ac:dyDescent="0.25">
      <c r="B32" s="117"/>
      <c r="C32" s="117"/>
      <c r="D32" s="118"/>
      <c r="E32" s="119"/>
      <c r="F32" s="120"/>
      <c r="G32" s="120"/>
      <c r="H32" s="120"/>
      <c r="I32" s="121"/>
      <c r="J32" s="122"/>
      <c r="K32" s="1"/>
      <c r="L32" s="123"/>
      <c r="M32" s="1"/>
      <c r="N32" s="124"/>
      <c r="O32" s="125"/>
      <c r="R32" s="92" t="s">
        <v>96</v>
      </c>
    </row>
    <row r="33" spans="2:18" ht="15.75" customHeight="1" x14ac:dyDescent="0.25">
      <c r="B33" s="117"/>
      <c r="C33" s="117"/>
      <c r="D33" s="118"/>
      <c r="E33" s="119"/>
      <c r="F33" s="120"/>
      <c r="G33" s="120"/>
      <c r="H33" s="120"/>
      <c r="I33" s="121"/>
      <c r="J33" s="122"/>
      <c r="K33" s="1"/>
      <c r="L33" s="123"/>
      <c r="M33" s="1"/>
      <c r="N33" s="124"/>
      <c r="O33" s="125"/>
      <c r="R33" s="92" t="s">
        <v>97</v>
      </c>
    </row>
    <row r="34" spans="2:18" ht="15.75" customHeight="1" x14ac:dyDescent="0.25">
      <c r="B34" s="117"/>
      <c r="C34" s="117"/>
      <c r="D34" s="118"/>
      <c r="E34" s="119"/>
      <c r="F34" s="120"/>
      <c r="G34" s="120"/>
      <c r="H34" s="120"/>
      <c r="I34" s="121"/>
      <c r="J34" s="122"/>
      <c r="K34" s="1"/>
      <c r="L34" s="123"/>
      <c r="M34" s="1"/>
      <c r="N34" s="124"/>
      <c r="O34" s="125"/>
      <c r="R34" s="92" t="s">
        <v>98</v>
      </c>
    </row>
    <row r="35" spans="2:18" ht="15.75" customHeight="1" x14ac:dyDescent="0.25">
      <c r="B35" s="117"/>
      <c r="C35" s="117"/>
      <c r="D35" s="118"/>
      <c r="E35" s="119"/>
      <c r="F35" s="120"/>
      <c r="G35" s="120"/>
      <c r="H35" s="120"/>
      <c r="I35" s="121"/>
      <c r="J35" s="122"/>
      <c r="K35" s="1"/>
      <c r="L35" s="123"/>
      <c r="M35" s="1"/>
      <c r="N35" s="124"/>
      <c r="O35" s="125"/>
      <c r="R35" s="92" t="s">
        <v>99</v>
      </c>
    </row>
    <row r="36" spans="2:18" ht="15.75" customHeight="1" x14ac:dyDescent="0.25">
      <c r="B36" s="117"/>
      <c r="C36" s="117"/>
      <c r="D36" s="118"/>
      <c r="E36" s="119"/>
      <c r="F36" s="120"/>
      <c r="G36" s="120"/>
      <c r="H36" s="120"/>
      <c r="I36" s="121"/>
      <c r="J36" s="122"/>
      <c r="K36" s="1"/>
      <c r="L36" s="123"/>
      <c r="M36" s="1"/>
      <c r="N36" s="124"/>
      <c r="O36" s="125"/>
      <c r="R36" s="92" t="s">
        <v>100</v>
      </c>
    </row>
    <row r="37" spans="2:18" ht="15.75" customHeight="1" x14ac:dyDescent="0.25">
      <c r="B37" s="117"/>
      <c r="C37" s="117"/>
      <c r="D37" s="118"/>
      <c r="E37" s="119"/>
      <c r="F37" s="120"/>
      <c r="G37" s="120"/>
      <c r="H37" s="120"/>
      <c r="I37" s="121"/>
      <c r="J37" s="122"/>
      <c r="K37" s="1"/>
      <c r="L37" s="123"/>
      <c r="M37" s="1"/>
      <c r="N37" s="124"/>
      <c r="O37" s="125"/>
      <c r="R37" s="92" t="s">
        <v>101</v>
      </c>
    </row>
    <row r="38" spans="2:18" ht="15.75" customHeight="1" x14ac:dyDescent="0.25">
      <c r="B38" s="117"/>
      <c r="C38" s="117"/>
      <c r="D38" s="118"/>
      <c r="E38" s="119"/>
      <c r="F38" s="120"/>
      <c r="G38" s="120"/>
      <c r="H38" s="120"/>
      <c r="I38" s="121"/>
      <c r="J38" s="122"/>
      <c r="K38" s="1"/>
      <c r="L38" s="123"/>
      <c r="M38" s="1"/>
      <c r="N38" s="124"/>
      <c r="O38" s="125"/>
      <c r="R38" s="92" t="s">
        <v>102</v>
      </c>
    </row>
    <row r="39" spans="2:18" ht="15.75" customHeight="1" x14ac:dyDescent="0.25">
      <c r="B39" s="117"/>
      <c r="C39" s="117"/>
      <c r="D39" s="118"/>
      <c r="E39" s="119"/>
      <c r="F39" s="120"/>
      <c r="G39" s="120"/>
      <c r="H39" s="120"/>
      <c r="I39" s="121"/>
      <c r="J39" s="122"/>
      <c r="K39" s="1"/>
      <c r="L39" s="123"/>
      <c r="M39" s="1"/>
      <c r="N39" s="124"/>
      <c r="O39" s="125"/>
      <c r="R39" s="92" t="s">
        <v>103</v>
      </c>
    </row>
    <row r="40" spans="2:18" ht="15.75" customHeight="1" x14ac:dyDescent="0.25">
      <c r="B40" s="117"/>
      <c r="C40" s="117"/>
      <c r="D40" s="118"/>
      <c r="E40" s="119"/>
      <c r="F40" s="120"/>
      <c r="G40" s="120"/>
      <c r="H40" s="120"/>
      <c r="I40" s="121"/>
      <c r="J40" s="122"/>
      <c r="K40" s="1"/>
      <c r="L40" s="123"/>
      <c r="M40" s="1"/>
      <c r="N40" s="124"/>
      <c r="O40" s="125"/>
      <c r="R40" s="92" t="s">
        <v>104</v>
      </c>
    </row>
    <row r="41" spans="2:18" ht="15.75" customHeight="1" x14ac:dyDescent="0.25">
      <c r="B41" s="117"/>
      <c r="C41" s="117"/>
      <c r="D41" s="118"/>
      <c r="E41" s="119"/>
      <c r="F41" s="120"/>
      <c r="G41" s="120"/>
      <c r="H41" s="120"/>
      <c r="I41" s="121"/>
      <c r="J41" s="122"/>
      <c r="K41" s="1"/>
      <c r="L41" s="123"/>
      <c r="M41" s="1"/>
      <c r="N41" s="124"/>
      <c r="O41" s="125"/>
      <c r="R41" s="74"/>
    </row>
    <row r="42" spans="2:18" ht="15.75" customHeight="1" x14ac:dyDescent="0.25">
      <c r="B42" s="117"/>
      <c r="C42" s="117"/>
      <c r="D42" s="118"/>
      <c r="E42" s="119"/>
      <c r="F42" s="120"/>
      <c r="G42" s="120"/>
      <c r="H42" s="120"/>
      <c r="I42" s="121"/>
      <c r="J42" s="122"/>
      <c r="K42" s="1"/>
      <c r="L42" s="123"/>
      <c r="M42" s="1"/>
      <c r="N42" s="124"/>
      <c r="O42" s="125"/>
      <c r="R42" s="92" t="s">
        <v>195</v>
      </c>
    </row>
    <row r="43" spans="2:18" ht="15.75" customHeight="1" x14ac:dyDescent="0.25">
      <c r="B43" s="117"/>
      <c r="C43" s="117"/>
      <c r="D43" s="118"/>
      <c r="E43" s="119"/>
      <c r="F43" s="120"/>
      <c r="G43" s="120"/>
      <c r="H43" s="120"/>
      <c r="I43" s="121"/>
      <c r="J43" s="122"/>
      <c r="K43" s="1"/>
      <c r="L43" s="123"/>
      <c r="M43" s="1"/>
      <c r="N43" s="124"/>
      <c r="O43" s="125"/>
      <c r="R43" s="92" t="s">
        <v>76</v>
      </c>
    </row>
    <row r="44" spans="2:18" ht="15.75" customHeight="1" x14ac:dyDescent="0.25">
      <c r="B44" s="117"/>
      <c r="C44" s="117"/>
      <c r="D44" s="118"/>
      <c r="E44" s="119"/>
      <c r="F44" s="120"/>
      <c r="G44" s="120"/>
      <c r="H44" s="120"/>
      <c r="I44" s="121"/>
      <c r="J44" s="122"/>
      <c r="K44" s="1"/>
      <c r="L44" s="123"/>
      <c r="M44" s="1"/>
      <c r="N44" s="124"/>
      <c r="O44" s="125"/>
      <c r="R44" s="92" t="s">
        <v>78</v>
      </c>
    </row>
    <row r="45" spans="2:18" ht="15.75" customHeight="1" x14ac:dyDescent="0.25">
      <c r="B45" s="117"/>
      <c r="C45" s="117"/>
      <c r="D45" s="118"/>
      <c r="E45" s="119"/>
      <c r="F45" s="120"/>
      <c r="G45" s="120"/>
      <c r="H45" s="120"/>
      <c r="I45" s="121"/>
      <c r="J45" s="122"/>
      <c r="K45" s="1"/>
      <c r="L45" s="123"/>
      <c r="M45" s="1"/>
      <c r="N45" s="124"/>
      <c r="O45" s="125"/>
      <c r="R45" s="74"/>
    </row>
    <row r="46" spans="2:18" ht="15.75" customHeight="1" x14ac:dyDescent="0.25">
      <c r="B46" s="117"/>
      <c r="C46" s="117"/>
      <c r="D46" s="118"/>
      <c r="E46" s="119"/>
      <c r="F46" s="120"/>
      <c r="G46" s="120"/>
      <c r="H46" s="120"/>
      <c r="I46" s="121"/>
      <c r="J46" s="122"/>
      <c r="K46" s="1"/>
      <c r="L46" s="123"/>
      <c r="M46" s="1"/>
      <c r="N46" s="124"/>
      <c r="O46" s="125"/>
      <c r="R46" s="92" t="s">
        <v>153</v>
      </c>
    </row>
    <row r="47" spans="2:18" ht="15.75" customHeight="1" x14ac:dyDescent="0.25">
      <c r="B47" s="117"/>
      <c r="C47" s="117"/>
      <c r="D47" s="118"/>
      <c r="E47" s="119"/>
      <c r="F47" s="120"/>
      <c r="G47" s="120"/>
      <c r="H47" s="120"/>
      <c r="I47" s="121"/>
      <c r="J47" s="122"/>
      <c r="K47" s="1"/>
      <c r="L47" s="123"/>
      <c r="M47" s="1"/>
      <c r="N47" s="124"/>
      <c r="O47" s="125"/>
      <c r="R47" s="74" t="s">
        <v>154</v>
      </c>
    </row>
    <row r="48" spans="2:18" ht="15.75" customHeight="1" x14ac:dyDescent="0.25">
      <c r="B48" s="117"/>
      <c r="C48" s="117"/>
      <c r="D48" s="118"/>
      <c r="E48" s="119"/>
      <c r="F48" s="120"/>
      <c r="G48" s="120"/>
      <c r="H48" s="120"/>
      <c r="I48" s="121"/>
      <c r="J48" s="122"/>
      <c r="K48" s="1"/>
      <c r="L48" s="123"/>
      <c r="M48" s="1"/>
      <c r="N48" s="124"/>
      <c r="O48" s="125"/>
      <c r="R48" s="74" t="s">
        <v>155</v>
      </c>
    </row>
    <row r="49" spans="2:18" ht="15.75" customHeight="1" x14ac:dyDescent="0.25">
      <c r="B49" s="117"/>
      <c r="C49" s="117"/>
      <c r="D49" s="118"/>
      <c r="E49" s="119"/>
      <c r="F49" s="120"/>
      <c r="G49" s="120"/>
      <c r="H49" s="120"/>
      <c r="I49" s="121"/>
      <c r="J49" s="122"/>
      <c r="K49" s="1"/>
      <c r="L49" s="123"/>
      <c r="M49" s="1"/>
      <c r="N49" s="124"/>
      <c r="O49" s="125"/>
      <c r="R49" s="74" t="s">
        <v>156</v>
      </c>
    </row>
    <row r="50" spans="2:18" ht="15.75" customHeight="1" x14ac:dyDescent="0.25">
      <c r="B50" s="117"/>
      <c r="C50" s="117"/>
      <c r="D50" s="118"/>
      <c r="E50" s="119"/>
      <c r="F50" s="120"/>
      <c r="G50" s="120"/>
      <c r="H50" s="120"/>
      <c r="I50" s="121"/>
      <c r="J50" s="122"/>
      <c r="K50" s="1"/>
      <c r="L50" s="123"/>
      <c r="M50" s="1"/>
      <c r="N50" s="124"/>
      <c r="O50" s="125"/>
      <c r="R50" s="74" t="s">
        <v>157</v>
      </c>
    </row>
    <row r="51" spans="2:18" ht="15.75" customHeight="1" x14ac:dyDescent="0.25">
      <c r="B51" s="117"/>
      <c r="C51" s="117"/>
      <c r="D51" s="118"/>
      <c r="E51" s="119"/>
      <c r="F51" s="120"/>
      <c r="G51" s="120"/>
      <c r="H51" s="120"/>
      <c r="I51" s="121"/>
      <c r="J51" s="122"/>
      <c r="K51" s="1"/>
      <c r="L51" s="123"/>
      <c r="M51" s="1"/>
      <c r="N51" s="124"/>
      <c r="O51" s="125"/>
      <c r="R51" s="74" t="s">
        <v>158</v>
      </c>
    </row>
    <row r="52" spans="2:18" ht="15.75" customHeight="1" x14ac:dyDescent="0.25">
      <c r="B52" s="117"/>
      <c r="C52" s="117"/>
      <c r="D52" s="118"/>
      <c r="E52" s="119"/>
      <c r="F52" s="120"/>
      <c r="G52" s="120"/>
      <c r="H52" s="120"/>
      <c r="I52" s="121"/>
      <c r="J52" s="122"/>
      <c r="K52" s="1"/>
      <c r="L52" s="123"/>
      <c r="M52" s="1"/>
      <c r="N52" s="124"/>
      <c r="O52" s="125"/>
      <c r="R52" s="74" t="s">
        <v>159</v>
      </c>
    </row>
    <row r="53" spans="2:18" ht="15.75" customHeight="1" x14ac:dyDescent="0.25">
      <c r="B53" s="117"/>
      <c r="C53" s="117"/>
      <c r="D53" s="118"/>
      <c r="E53" s="119"/>
      <c r="F53" s="120"/>
      <c r="G53" s="120"/>
      <c r="H53" s="120"/>
      <c r="I53" s="121"/>
      <c r="J53" s="122"/>
      <c r="K53" s="1"/>
      <c r="L53" s="123"/>
      <c r="M53" s="1"/>
      <c r="N53" s="124"/>
      <c r="O53" s="125"/>
      <c r="R53" s="74" t="s">
        <v>191</v>
      </c>
    </row>
    <row r="54" spans="2:18" ht="15.75" customHeight="1" x14ac:dyDescent="0.25">
      <c r="B54" s="117"/>
      <c r="C54" s="117"/>
      <c r="D54" s="118"/>
      <c r="E54" s="119"/>
      <c r="F54" s="120"/>
      <c r="G54" s="120"/>
      <c r="H54" s="120"/>
      <c r="I54" s="121"/>
      <c r="J54" s="122"/>
      <c r="K54" s="1"/>
      <c r="L54" s="123"/>
      <c r="M54" s="1"/>
      <c r="N54" s="124"/>
      <c r="O54" s="125"/>
      <c r="R54" s="74" t="s">
        <v>161</v>
      </c>
    </row>
    <row r="55" spans="2:18" ht="15.75" customHeight="1" x14ac:dyDescent="0.25">
      <c r="B55" s="117"/>
      <c r="C55" s="117"/>
      <c r="D55" s="118"/>
      <c r="E55" s="119"/>
      <c r="F55" s="120"/>
      <c r="G55" s="120"/>
      <c r="H55" s="120"/>
      <c r="I55" s="121"/>
      <c r="J55" s="122"/>
      <c r="K55" s="1"/>
      <c r="L55" s="123"/>
      <c r="M55" s="1"/>
      <c r="N55" s="124"/>
      <c r="O55" s="125"/>
      <c r="R55" s="74" t="s">
        <v>162</v>
      </c>
    </row>
    <row r="56" spans="2:18" ht="15.75" customHeight="1" x14ac:dyDescent="0.25">
      <c r="B56" s="117"/>
      <c r="C56" s="117"/>
      <c r="D56" s="118"/>
      <c r="E56" s="119"/>
      <c r="F56" s="120"/>
      <c r="G56" s="120"/>
      <c r="H56" s="120"/>
      <c r="I56" s="121"/>
      <c r="J56" s="122"/>
      <c r="K56" s="1"/>
      <c r="L56" s="123"/>
      <c r="M56" s="1"/>
      <c r="N56" s="124"/>
      <c r="O56" s="125"/>
      <c r="R56" s="74" t="s">
        <v>196</v>
      </c>
    </row>
    <row r="57" spans="2:18" ht="15.75" customHeight="1" x14ac:dyDescent="0.25">
      <c r="L57" s="99"/>
      <c r="R57" s="74"/>
    </row>
    <row r="58" spans="2:18" ht="15.75" customHeight="1" x14ac:dyDescent="0.25">
      <c r="B58" s="255" t="s">
        <v>197</v>
      </c>
      <c r="C58" s="256" t="s">
        <v>198</v>
      </c>
      <c r="D58" s="250"/>
      <c r="E58" s="250"/>
      <c r="F58" s="250"/>
      <c r="G58" s="250"/>
      <c r="L58" s="99"/>
      <c r="R58" s="74"/>
    </row>
    <row r="59" spans="2:18" ht="15.75" customHeight="1" x14ac:dyDescent="0.25">
      <c r="B59" s="236"/>
      <c r="C59" s="256" t="s">
        <v>199</v>
      </c>
      <c r="D59" s="250"/>
      <c r="E59" s="250"/>
      <c r="F59" s="250"/>
      <c r="G59" s="250"/>
      <c r="L59" s="99"/>
      <c r="R59" s="74"/>
    </row>
    <row r="60" spans="2:18" ht="15.75" customHeight="1" x14ac:dyDescent="0.25">
      <c r="L60" s="99"/>
      <c r="R60" s="74"/>
    </row>
    <row r="61" spans="2:18" ht="15.75" customHeight="1" x14ac:dyDescent="0.25">
      <c r="L61" s="99"/>
      <c r="R61" s="74"/>
    </row>
    <row r="62" spans="2:18" ht="15.75" customHeight="1" x14ac:dyDescent="0.25">
      <c r="L62" s="99"/>
      <c r="R62" s="74"/>
    </row>
    <row r="63" spans="2:18" ht="15.75" customHeight="1" x14ac:dyDescent="0.25">
      <c r="L63" s="99"/>
      <c r="R63" s="74"/>
    </row>
    <row r="64" spans="2:18" ht="15.75" customHeight="1" x14ac:dyDescent="0.25">
      <c r="L64" s="99"/>
      <c r="R64" s="74"/>
    </row>
    <row r="65" spans="12:18" ht="15.75" customHeight="1" x14ac:dyDescent="0.25">
      <c r="L65" s="99"/>
      <c r="R65" s="74"/>
    </row>
    <row r="66" spans="12:18" ht="15.75" customHeight="1" x14ac:dyDescent="0.25">
      <c r="L66" s="99"/>
      <c r="R66" s="74"/>
    </row>
    <row r="67" spans="12:18" ht="15.75" customHeight="1" x14ac:dyDescent="0.25">
      <c r="L67" s="99"/>
      <c r="R67" s="74"/>
    </row>
    <row r="68" spans="12:18" ht="15.75" customHeight="1" x14ac:dyDescent="0.25">
      <c r="L68" s="99"/>
      <c r="R68" s="74"/>
    </row>
    <row r="69" spans="12:18" ht="15.75" customHeight="1" x14ac:dyDescent="0.25">
      <c r="L69" s="99"/>
      <c r="R69" s="74"/>
    </row>
    <row r="70" spans="12:18" ht="15.75" customHeight="1" x14ac:dyDescent="0.25">
      <c r="L70" s="99"/>
      <c r="R70" s="74"/>
    </row>
    <row r="71" spans="12:18" ht="15.75" customHeight="1" x14ac:dyDescent="0.25">
      <c r="L71" s="99"/>
      <c r="R71" s="74"/>
    </row>
    <row r="72" spans="12:18" ht="15.75" customHeight="1" x14ac:dyDescent="0.25">
      <c r="L72" s="99"/>
      <c r="R72" s="74"/>
    </row>
    <row r="73" spans="12:18" ht="15.75" customHeight="1" x14ac:dyDescent="0.25">
      <c r="L73" s="99"/>
      <c r="R73" s="74"/>
    </row>
    <row r="74" spans="12:18" ht="15.75" customHeight="1" x14ac:dyDescent="0.25">
      <c r="L74" s="99"/>
      <c r="R74" s="74"/>
    </row>
    <row r="75" spans="12:18" ht="15.75" customHeight="1" x14ac:dyDescent="0.25">
      <c r="L75" s="99"/>
      <c r="R75" s="74"/>
    </row>
    <row r="76" spans="12:18" ht="15.75" customHeight="1" x14ac:dyDescent="0.25">
      <c r="L76" s="99"/>
      <c r="R76" s="74"/>
    </row>
    <row r="77" spans="12:18" ht="15.75" customHeight="1" x14ac:dyDescent="0.25">
      <c r="L77" s="99"/>
      <c r="R77" s="74"/>
    </row>
    <row r="78" spans="12:18" ht="15.75" customHeight="1" x14ac:dyDescent="0.25">
      <c r="L78" s="99"/>
      <c r="R78" s="74"/>
    </row>
    <row r="79" spans="12:18" ht="15.75" customHeight="1" x14ac:dyDescent="0.25">
      <c r="L79" s="99"/>
      <c r="R79" s="74"/>
    </row>
    <row r="80" spans="12:18" ht="15.75" customHeight="1" x14ac:dyDescent="0.25">
      <c r="L80" s="99"/>
      <c r="R80" s="74"/>
    </row>
    <row r="81" spans="12:18" ht="15.75" customHeight="1" x14ac:dyDescent="0.25">
      <c r="L81" s="99"/>
      <c r="R81" s="74"/>
    </row>
    <row r="82" spans="12:18" ht="15.75" customHeight="1" x14ac:dyDescent="0.25">
      <c r="L82" s="99"/>
      <c r="R82" s="74"/>
    </row>
    <row r="83" spans="12:18" ht="15.75" customHeight="1" x14ac:dyDescent="0.25">
      <c r="L83" s="99"/>
      <c r="R83" s="74"/>
    </row>
    <row r="84" spans="12:18" ht="15.75" customHeight="1" x14ac:dyDescent="0.25">
      <c r="L84" s="99"/>
      <c r="R84" s="74"/>
    </row>
    <row r="85" spans="12:18" ht="15.75" customHeight="1" x14ac:dyDescent="0.25">
      <c r="L85" s="99"/>
      <c r="R85" s="74"/>
    </row>
    <row r="86" spans="12:18" ht="15.75" customHeight="1" x14ac:dyDescent="0.25">
      <c r="L86" s="99"/>
      <c r="R86" s="74"/>
    </row>
    <row r="87" spans="12:18" ht="15.75" customHeight="1" x14ac:dyDescent="0.25">
      <c r="L87" s="99"/>
      <c r="R87" s="74"/>
    </row>
    <row r="88" spans="12:18" ht="15.75" customHeight="1" x14ac:dyDescent="0.25">
      <c r="L88" s="99"/>
      <c r="R88" s="74"/>
    </row>
    <row r="89" spans="12:18" ht="15.75" customHeight="1" x14ac:dyDescent="0.25">
      <c r="L89" s="99"/>
      <c r="R89" s="74"/>
    </row>
    <row r="90" spans="12:18" ht="15.75" customHeight="1" x14ac:dyDescent="0.25">
      <c r="L90" s="99"/>
      <c r="R90" s="74"/>
    </row>
    <row r="91" spans="12:18" ht="15.75" customHeight="1" x14ac:dyDescent="0.25">
      <c r="L91" s="99"/>
      <c r="R91" s="74"/>
    </row>
    <row r="92" spans="12:18" ht="15.75" customHeight="1" x14ac:dyDescent="0.25">
      <c r="L92" s="99"/>
      <c r="R92" s="74"/>
    </row>
    <row r="93" spans="12:18" ht="15.75" customHeight="1" x14ac:dyDescent="0.25">
      <c r="L93" s="99"/>
      <c r="R93" s="74"/>
    </row>
    <row r="94" spans="12:18" ht="15.75" customHeight="1" x14ac:dyDescent="0.25">
      <c r="L94" s="99"/>
      <c r="R94" s="74"/>
    </row>
    <row r="95" spans="12:18" ht="15.75" customHeight="1" x14ac:dyDescent="0.25">
      <c r="L95" s="99"/>
      <c r="R95" s="74"/>
    </row>
    <row r="96" spans="12:18" ht="15.75" customHeight="1" x14ac:dyDescent="0.25">
      <c r="L96" s="99"/>
      <c r="R96" s="74"/>
    </row>
    <row r="97" spans="12:18" ht="15.75" customHeight="1" x14ac:dyDescent="0.25">
      <c r="L97" s="99"/>
      <c r="R97" s="74"/>
    </row>
    <row r="98" spans="12:18" ht="15.75" customHeight="1" x14ac:dyDescent="0.25">
      <c r="L98" s="99"/>
      <c r="R98" s="74"/>
    </row>
    <row r="99" spans="12:18" ht="15.75" customHeight="1" x14ac:dyDescent="0.25">
      <c r="L99" s="99"/>
      <c r="R99" s="74"/>
    </row>
    <row r="100" spans="12:18" ht="15.75" customHeight="1" x14ac:dyDescent="0.25">
      <c r="L100" s="99"/>
      <c r="R100" s="74"/>
    </row>
    <row r="101" spans="12:18" ht="15.75" customHeight="1" x14ac:dyDescent="0.25">
      <c r="L101" s="99"/>
      <c r="R101" s="74"/>
    </row>
    <row r="102" spans="12:18" ht="15.75" customHeight="1" x14ac:dyDescent="0.25">
      <c r="L102" s="99"/>
      <c r="R102" s="74"/>
    </row>
    <row r="103" spans="12:18" ht="15.75" customHeight="1" x14ac:dyDescent="0.25">
      <c r="L103" s="99"/>
      <c r="R103" s="74"/>
    </row>
    <row r="104" spans="12:18" ht="15.75" customHeight="1" x14ac:dyDescent="0.25">
      <c r="L104" s="99"/>
      <c r="R104" s="74"/>
    </row>
    <row r="105" spans="12:18" ht="15.75" customHeight="1" x14ac:dyDescent="0.25">
      <c r="L105" s="99"/>
      <c r="R105" s="74"/>
    </row>
    <row r="106" spans="12:18" ht="15.75" customHeight="1" x14ac:dyDescent="0.25">
      <c r="L106" s="99"/>
      <c r="R106" s="74"/>
    </row>
    <row r="107" spans="12:18" ht="15.75" customHeight="1" x14ac:dyDescent="0.25">
      <c r="L107" s="99"/>
      <c r="R107" s="74"/>
    </row>
    <row r="108" spans="12:18" ht="15.75" customHeight="1" x14ac:dyDescent="0.25">
      <c r="L108" s="99"/>
      <c r="R108" s="74"/>
    </row>
    <row r="109" spans="12:18" ht="15.75" customHeight="1" x14ac:dyDescent="0.25">
      <c r="L109" s="99"/>
      <c r="R109" s="74"/>
    </row>
    <row r="110" spans="12:18" ht="15.75" customHeight="1" x14ac:dyDescent="0.25">
      <c r="L110" s="99"/>
      <c r="R110" s="74"/>
    </row>
    <row r="111" spans="12:18" ht="15.75" customHeight="1" x14ac:dyDescent="0.25">
      <c r="L111" s="99"/>
      <c r="R111" s="74"/>
    </row>
    <row r="112" spans="12:18" ht="15.75" customHeight="1" x14ac:dyDescent="0.25">
      <c r="L112" s="99"/>
      <c r="R112" s="74"/>
    </row>
    <row r="113" spans="12:18" ht="15.75" customHeight="1" x14ac:dyDescent="0.25">
      <c r="L113" s="99"/>
      <c r="R113" s="74"/>
    </row>
    <row r="114" spans="12:18" ht="15.75" customHeight="1" x14ac:dyDescent="0.25">
      <c r="L114" s="99"/>
      <c r="R114" s="74"/>
    </row>
    <row r="115" spans="12:18" ht="15.75" customHeight="1" x14ac:dyDescent="0.25">
      <c r="L115" s="99"/>
      <c r="R115" s="74"/>
    </row>
    <row r="116" spans="12:18" ht="15.75" customHeight="1" x14ac:dyDescent="0.25">
      <c r="L116" s="99"/>
      <c r="R116" s="74"/>
    </row>
    <row r="117" spans="12:18" ht="15.75" customHeight="1" x14ac:dyDescent="0.25">
      <c r="L117" s="99"/>
      <c r="R117" s="74"/>
    </row>
    <row r="118" spans="12:18" ht="15.75" customHeight="1" x14ac:dyDescent="0.25">
      <c r="L118" s="99"/>
      <c r="R118" s="74"/>
    </row>
    <row r="119" spans="12:18" ht="15.75" customHeight="1" x14ac:dyDescent="0.25">
      <c r="L119" s="99"/>
      <c r="R119" s="74"/>
    </row>
    <row r="120" spans="12:18" ht="15.75" customHeight="1" x14ac:dyDescent="0.25">
      <c r="L120" s="99"/>
      <c r="R120" s="74"/>
    </row>
    <row r="121" spans="12:18" ht="15.75" customHeight="1" x14ac:dyDescent="0.25">
      <c r="L121" s="99"/>
      <c r="R121" s="74"/>
    </row>
    <row r="122" spans="12:18" ht="15.75" customHeight="1" x14ac:dyDescent="0.25">
      <c r="L122" s="99"/>
      <c r="R122" s="74"/>
    </row>
    <row r="123" spans="12:18" ht="15.75" customHeight="1" x14ac:dyDescent="0.25">
      <c r="L123" s="99"/>
      <c r="R123" s="74"/>
    </row>
    <row r="124" spans="12:18" ht="15.75" customHeight="1" x14ac:dyDescent="0.25">
      <c r="L124" s="99"/>
      <c r="R124" s="74"/>
    </row>
    <row r="125" spans="12:18" ht="15.75" customHeight="1" x14ac:dyDescent="0.25">
      <c r="L125" s="99"/>
      <c r="R125" s="74"/>
    </row>
    <row r="126" spans="12:18" ht="15.75" customHeight="1" x14ac:dyDescent="0.25">
      <c r="L126" s="99"/>
      <c r="R126" s="74"/>
    </row>
    <row r="127" spans="12:18" ht="15.75" customHeight="1" x14ac:dyDescent="0.25">
      <c r="L127" s="99"/>
      <c r="R127" s="74"/>
    </row>
    <row r="128" spans="12:18" ht="15.75" customHeight="1" x14ac:dyDescent="0.25">
      <c r="L128" s="99"/>
      <c r="R128" s="74"/>
    </row>
    <row r="129" spans="12:18" ht="15.75" customHeight="1" x14ac:dyDescent="0.25">
      <c r="L129" s="99"/>
      <c r="R129" s="74"/>
    </row>
    <row r="130" spans="12:18" ht="15.75" customHeight="1" x14ac:dyDescent="0.25">
      <c r="L130" s="99"/>
      <c r="R130" s="74"/>
    </row>
    <row r="131" spans="12:18" ht="15.75" customHeight="1" x14ac:dyDescent="0.25">
      <c r="L131" s="99"/>
      <c r="R131" s="74"/>
    </row>
    <row r="132" spans="12:18" ht="15.75" customHeight="1" x14ac:dyDescent="0.25">
      <c r="L132" s="99"/>
      <c r="R132" s="74"/>
    </row>
    <row r="133" spans="12:18" ht="15.75" customHeight="1" x14ac:dyDescent="0.25">
      <c r="L133" s="99"/>
      <c r="R133" s="74"/>
    </row>
    <row r="134" spans="12:18" ht="15.75" customHeight="1" x14ac:dyDescent="0.25">
      <c r="L134" s="99"/>
      <c r="R134" s="74"/>
    </row>
    <row r="135" spans="12:18" ht="15.75" customHeight="1" x14ac:dyDescent="0.25">
      <c r="L135" s="99"/>
      <c r="R135" s="74"/>
    </row>
    <row r="136" spans="12:18" ht="15.75" customHeight="1" x14ac:dyDescent="0.25">
      <c r="L136" s="99"/>
      <c r="R136" s="74"/>
    </row>
    <row r="137" spans="12:18" ht="15.75" customHeight="1" x14ac:dyDescent="0.25">
      <c r="L137" s="99"/>
      <c r="R137" s="74"/>
    </row>
    <row r="138" spans="12:18" ht="15.75" customHeight="1" x14ac:dyDescent="0.25">
      <c r="L138" s="99"/>
      <c r="R138" s="74"/>
    </row>
    <row r="139" spans="12:18" ht="15.75" customHeight="1" x14ac:dyDescent="0.25">
      <c r="L139" s="99"/>
      <c r="R139" s="74"/>
    </row>
    <row r="140" spans="12:18" ht="15.75" customHeight="1" x14ac:dyDescent="0.25">
      <c r="L140" s="99"/>
      <c r="R140" s="74"/>
    </row>
    <row r="141" spans="12:18" ht="15.75" customHeight="1" x14ac:dyDescent="0.25">
      <c r="L141" s="99"/>
      <c r="R141" s="74"/>
    </row>
    <row r="142" spans="12:18" ht="15.75" customHeight="1" x14ac:dyDescent="0.25">
      <c r="L142" s="99"/>
      <c r="R142" s="74"/>
    </row>
    <row r="143" spans="12:18" ht="15.75" customHeight="1" x14ac:dyDescent="0.25">
      <c r="L143" s="99"/>
      <c r="R143" s="74"/>
    </row>
    <row r="144" spans="12:18" ht="15.75" customHeight="1" x14ac:dyDescent="0.25">
      <c r="L144" s="99"/>
      <c r="R144" s="74"/>
    </row>
    <row r="145" spans="12:18" ht="15.75" customHeight="1" x14ac:dyDescent="0.25">
      <c r="L145" s="99"/>
      <c r="R145" s="74"/>
    </row>
    <row r="146" spans="12:18" ht="15.75" customHeight="1" x14ac:dyDescent="0.25">
      <c r="L146" s="99"/>
      <c r="R146" s="74"/>
    </row>
    <row r="147" spans="12:18" ht="15.75" customHeight="1" x14ac:dyDescent="0.25">
      <c r="L147" s="99"/>
      <c r="R147" s="74"/>
    </row>
    <row r="148" spans="12:18" ht="15.75" customHeight="1" x14ac:dyDescent="0.25">
      <c r="L148" s="99"/>
      <c r="R148" s="74"/>
    </row>
    <row r="149" spans="12:18" ht="15.75" customHeight="1" x14ac:dyDescent="0.25">
      <c r="L149" s="99"/>
      <c r="R149" s="74"/>
    </row>
    <row r="150" spans="12:18" ht="15.75" customHeight="1" x14ac:dyDescent="0.25">
      <c r="L150" s="99"/>
      <c r="R150" s="74"/>
    </row>
    <row r="151" spans="12:18" ht="15.75" customHeight="1" x14ac:dyDescent="0.25">
      <c r="L151" s="99"/>
      <c r="R151" s="74"/>
    </row>
    <row r="152" spans="12:18" ht="15.75" customHeight="1" x14ac:dyDescent="0.25">
      <c r="L152" s="99"/>
      <c r="R152" s="74"/>
    </row>
    <row r="153" spans="12:18" ht="15.75" customHeight="1" x14ac:dyDescent="0.25">
      <c r="L153" s="99"/>
      <c r="R153" s="74"/>
    </row>
    <row r="154" spans="12:18" ht="15.75" customHeight="1" x14ac:dyDescent="0.25">
      <c r="L154" s="99"/>
      <c r="R154" s="74"/>
    </row>
    <row r="155" spans="12:18" ht="15.75" customHeight="1" x14ac:dyDescent="0.25">
      <c r="L155" s="99"/>
      <c r="R155" s="74"/>
    </row>
    <row r="156" spans="12:18" ht="15.75" customHeight="1" x14ac:dyDescent="0.25">
      <c r="L156" s="99"/>
      <c r="R156" s="74"/>
    </row>
    <row r="157" spans="12:18" ht="15.75" customHeight="1" x14ac:dyDescent="0.25">
      <c r="L157" s="99"/>
      <c r="R157" s="74"/>
    </row>
    <row r="158" spans="12:18" ht="15.75" customHeight="1" x14ac:dyDescent="0.25">
      <c r="L158" s="99"/>
      <c r="R158" s="74"/>
    </row>
    <row r="159" spans="12:18" ht="15.75" customHeight="1" x14ac:dyDescent="0.25">
      <c r="L159" s="99"/>
      <c r="R159" s="74"/>
    </row>
    <row r="160" spans="12:18" ht="15.75" customHeight="1" x14ac:dyDescent="0.25">
      <c r="L160" s="99"/>
      <c r="R160" s="74"/>
    </row>
    <row r="161" spans="12:18" ht="15.75" customHeight="1" x14ac:dyDescent="0.25">
      <c r="L161" s="99"/>
      <c r="R161" s="74"/>
    </row>
    <row r="162" spans="12:18" ht="15.75" customHeight="1" x14ac:dyDescent="0.25">
      <c r="L162" s="99"/>
      <c r="R162" s="74"/>
    </row>
    <row r="163" spans="12:18" ht="15.75" customHeight="1" x14ac:dyDescent="0.25">
      <c r="L163" s="99"/>
      <c r="R163" s="74"/>
    </row>
    <row r="164" spans="12:18" ht="15.75" customHeight="1" x14ac:dyDescent="0.25">
      <c r="L164" s="99"/>
      <c r="R164" s="74"/>
    </row>
    <row r="165" spans="12:18" ht="15.75" customHeight="1" x14ac:dyDescent="0.25">
      <c r="L165" s="99"/>
      <c r="R165" s="74"/>
    </row>
    <row r="166" spans="12:18" ht="15.75" customHeight="1" x14ac:dyDescent="0.25">
      <c r="L166" s="99"/>
      <c r="R166" s="74"/>
    </row>
    <row r="167" spans="12:18" ht="15.75" customHeight="1" x14ac:dyDescent="0.25">
      <c r="L167" s="99"/>
      <c r="R167" s="74"/>
    </row>
    <row r="168" spans="12:18" ht="15.75" customHeight="1" x14ac:dyDescent="0.25">
      <c r="L168" s="99"/>
      <c r="R168" s="74"/>
    </row>
    <row r="169" spans="12:18" ht="15.75" customHeight="1" x14ac:dyDescent="0.25">
      <c r="L169" s="99"/>
      <c r="R169" s="74"/>
    </row>
    <row r="170" spans="12:18" ht="15.75" customHeight="1" x14ac:dyDescent="0.25">
      <c r="L170" s="99"/>
      <c r="R170" s="74"/>
    </row>
    <row r="171" spans="12:18" ht="15.75" customHeight="1" x14ac:dyDescent="0.25">
      <c r="L171" s="99"/>
      <c r="R171" s="74"/>
    </row>
    <row r="172" spans="12:18" ht="15.75" customHeight="1" x14ac:dyDescent="0.25">
      <c r="L172" s="99"/>
      <c r="R172" s="74"/>
    </row>
    <row r="173" spans="12:18" ht="15.75" customHeight="1" x14ac:dyDescent="0.25">
      <c r="L173" s="99"/>
      <c r="R173" s="74"/>
    </row>
    <row r="174" spans="12:18" ht="15.75" customHeight="1" x14ac:dyDescent="0.25">
      <c r="L174" s="99"/>
      <c r="R174" s="74"/>
    </row>
    <row r="175" spans="12:18" ht="15.75" customHeight="1" x14ac:dyDescent="0.25">
      <c r="L175" s="99"/>
      <c r="R175" s="74"/>
    </row>
    <row r="176" spans="12:18" ht="15.75" customHeight="1" x14ac:dyDescent="0.25">
      <c r="L176" s="99"/>
      <c r="R176" s="74"/>
    </row>
    <row r="177" spans="12:18" ht="15.75" customHeight="1" x14ac:dyDescent="0.25">
      <c r="L177" s="99"/>
      <c r="R177" s="74"/>
    </row>
    <row r="178" spans="12:18" ht="15.75" customHeight="1" x14ac:dyDescent="0.25">
      <c r="L178" s="99"/>
      <c r="R178" s="74"/>
    </row>
    <row r="179" spans="12:18" ht="15.75" customHeight="1" x14ac:dyDescent="0.25">
      <c r="L179" s="99"/>
      <c r="R179" s="74"/>
    </row>
    <row r="180" spans="12:18" ht="15.75" customHeight="1" x14ac:dyDescent="0.25">
      <c r="L180" s="99"/>
      <c r="R180" s="74"/>
    </row>
    <row r="181" spans="12:18" ht="15.75" customHeight="1" x14ac:dyDescent="0.25">
      <c r="L181" s="99"/>
      <c r="R181" s="74"/>
    </row>
    <row r="182" spans="12:18" ht="15.75" customHeight="1" x14ac:dyDescent="0.25">
      <c r="L182" s="99"/>
      <c r="R182" s="74"/>
    </row>
    <row r="183" spans="12:18" ht="15.75" customHeight="1" x14ac:dyDescent="0.25">
      <c r="L183" s="99"/>
      <c r="R183" s="74"/>
    </row>
    <row r="184" spans="12:18" ht="15.75" customHeight="1" x14ac:dyDescent="0.25">
      <c r="L184" s="99"/>
      <c r="R184" s="74"/>
    </row>
    <row r="185" spans="12:18" ht="15.75" customHeight="1" x14ac:dyDescent="0.25">
      <c r="L185" s="99"/>
      <c r="R185" s="74"/>
    </row>
    <row r="186" spans="12:18" ht="15.75" customHeight="1" x14ac:dyDescent="0.25">
      <c r="L186" s="99"/>
      <c r="R186" s="74"/>
    </row>
    <row r="187" spans="12:18" ht="15.75" customHeight="1" x14ac:dyDescent="0.25">
      <c r="L187" s="99"/>
      <c r="R187" s="74"/>
    </row>
    <row r="188" spans="12:18" ht="15.75" customHeight="1" x14ac:dyDescent="0.25">
      <c r="L188" s="99"/>
      <c r="R188" s="74"/>
    </row>
    <row r="189" spans="12:18" ht="15.75" customHeight="1" x14ac:dyDescent="0.25">
      <c r="L189" s="99"/>
      <c r="R189" s="74"/>
    </row>
    <row r="190" spans="12:18" ht="15.75" customHeight="1" x14ac:dyDescent="0.25">
      <c r="L190" s="99"/>
      <c r="R190" s="74"/>
    </row>
    <row r="191" spans="12:18" ht="15.75" customHeight="1" x14ac:dyDescent="0.25">
      <c r="L191" s="99"/>
      <c r="R191" s="74"/>
    </row>
    <row r="192" spans="12:18" ht="15.75" customHeight="1" x14ac:dyDescent="0.25">
      <c r="L192" s="99"/>
      <c r="R192" s="74"/>
    </row>
    <row r="193" spans="12:18" ht="15.75" customHeight="1" x14ac:dyDescent="0.25">
      <c r="L193" s="99"/>
      <c r="R193" s="74"/>
    </row>
    <row r="194" spans="12:18" ht="15.75" customHeight="1" x14ac:dyDescent="0.25">
      <c r="L194" s="99"/>
      <c r="R194" s="74"/>
    </row>
    <row r="195" spans="12:18" ht="15.75" customHeight="1" x14ac:dyDescent="0.25">
      <c r="L195" s="99"/>
      <c r="R195" s="74"/>
    </row>
    <row r="196" spans="12:18" ht="15.75" customHeight="1" x14ac:dyDescent="0.25">
      <c r="L196" s="99"/>
      <c r="R196" s="74"/>
    </row>
    <row r="197" spans="12:18" ht="15.75" customHeight="1" x14ac:dyDescent="0.25">
      <c r="L197" s="99"/>
      <c r="R197" s="74"/>
    </row>
    <row r="198" spans="12:18" ht="15.75" customHeight="1" x14ac:dyDescent="0.25">
      <c r="L198" s="99"/>
      <c r="R198" s="74"/>
    </row>
    <row r="199" spans="12:18" ht="15.75" customHeight="1" x14ac:dyDescent="0.25">
      <c r="L199" s="99"/>
      <c r="R199" s="74"/>
    </row>
    <row r="200" spans="12:18" ht="15.75" customHeight="1" x14ac:dyDescent="0.25">
      <c r="L200" s="99"/>
      <c r="R200" s="74"/>
    </row>
    <row r="201" spans="12:18" ht="15.75" customHeight="1" x14ac:dyDescent="0.25">
      <c r="L201" s="99"/>
      <c r="R201" s="74"/>
    </row>
    <row r="202" spans="12:18" ht="15.75" customHeight="1" x14ac:dyDescent="0.25">
      <c r="L202" s="99"/>
      <c r="R202" s="74"/>
    </row>
    <row r="203" spans="12:18" ht="15.75" customHeight="1" x14ac:dyDescent="0.25">
      <c r="L203" s="99"/>
      <c r="R203" s="74"/>
    </row>
    <row r="204" spans="12:18" ht="15.75" customHeight="1" x14ac:dyDescent="0.25">
      <c r="L204" s="99"/>
      <c r="R204" s="74"/>
    </row>
    <row r="205" spans="12:18" ht="15.75" customHeight="1" x14ac:dyDescent="0.25">
      <c r="L205" s="99"/>
      <c r="R205" s="74"/>
    </row>
    <row r="206" spans="12:18" ht="15.75" customHeight="1" x14ac:dyDescent="0.25">
      <c r="L206" s="99"/>
      <c r="R206" s="74"/>
    </row>
    <row r="207" spans="12:18" ht="15.75" customHeight="1" x14ac:dyDescent="0.25">
      <c r="L207" s="99"/>
      <c r="R207" s="74"/>
    </row>
    <row r="208" spans="12:18" ht="15.75" customHeight="1" x14ac:dyDescent="0.25">
      <c r="L208" s="99"/>
      <c r="R208" s="74"/>
    </row>
    <row r="209" spans="12:18" ht="15.75" customHeight="1" x14ac:dyDescent="0.25">
      <c r="L209" s="99"/>
      <c r="R209" s="74"/>
    </row>
    <row r="210" spans="12:18" ht="15.75" customHeight="1" x14ac:dyDescent="0.25">
      <c r="L210" s="99"/>
      <c r="R210" s="74"/>
    </row>
    <row r="211" spans="12:18" ht="15.75" customHeight="1" x14ac:dyDescent="0.25">
      <c r="L211" s="99"/>
      <c r="R211" s="74"/>
    </row>
    <row r="212" spans="12:18" ht="15.75" customHeight="1" x14ac:dyDescent="0.25">
      <c r="L212" s="99"/>
      <c r="R212" s="74"/>
    </row>
    <row r="213" spans="12:18" ht="15.75" customHeight="1" x14ac:dyDescent="0.25">
      <c r="L213" s="99"/>
      <c r="R213" s="74"/>
    </row>
    <row r="214" spans="12:18" ht="15.75" customHeight="1" x14ac:dyDescent="0.25">
      <c r="L214" s="99"/>
      <c r="R214" s="74"/>
    </row>
    <row r="215" spans="12:18" ht="15.75" customHeight="1" x14ac:dyDescent="0.25">
      <c r="L215" s="99"/>
      <c r="R215" s="74"/>
    </row>
    <row r="216" spans="12:18" ht="15.75" customHeight="1" x14ac:dyDescent="0.25">
      <c r="L216" s="99"/>
      <c r="R216" s="74"/>
    </row>
    <row r="217" spans="12:18" ht="15.75" customHeight="1" x14ac:dyDescent="0.25">
      <c r="L217" s="99"/>
      <c r="R217" s="74"/>
    </row>
    <row r="218" spans="12:18" ht="15.75" customHeight="1" x14ac:dyDescent="0.25">
      <c r="L218" s="99"/>
      <c r="R218" s="74"/>
    </row>
    <row r="219" spans="12:18" ht="15.75" customHeight="1" x14ac:dyDescent="0.25">
      <c r="L219" s="99"/>
      <c r="R219" s="74"/>
    </row>
    <row r="220" spans="12:18" ht="15.75" customHeight="1" x14ac:dyDescent="0.25">
      <c r="L220" s="99"/>
      <c r="R220" s="74"/>
    </row>
    <row r="221" spans="12:18" ht="15.75" customHeight="1" x14ac:dyDescent="0.25">
      <c r="L221" s="99"/>
      <c r="R221" s="74"/>
    </row>
    <row r="222" spans="12:18" ht="15.75" customHeight="1" x14ac:dyDescent="0.25">
      <c r="L222" s="99"/>
      <c r="R222" s="74"/>
    </row>
    <row r="223" spans="12:18" ht="15.75" customHeight="1" x14ac:dyDescent="0.25">
      <c r="L223" s="99"/>
      <c r="R223" s="74"/>
    </row>
    <row r="224" spans="12:18" ht="15.75" customHeight="1" x14ac:dyDescent="0.25">
      <c r="L224" s="99"/>
      <c r="R224" s="74"/>
    </row>
    <row r="225" spans="12:18" ht="15.75" customHeight="1" x14ac:dyDescent="0.25">
      <c r="L225" s="99"/>
      <c r="R225" s="74"/>
    </row>
    <row r="226" spans="12:18" ht="15.75" customHeight="1" x14ac:dyDescent="0.25">
      <c r="L226" s="99"/>
      <c r="R226" s="74"/>
    </row>
    <row r="227" spans="12:18" ht="15.75" customHeight="1" x14ac:dyDescent="0.25">
      <c r="L227" s="99"/>
      <c r="R227" s="74"/>
    </row>
    <row r="228" spans="12:18" ht="15.75" customHeight="1" x14ac:dyDescent="0.25">
      <c r="L228" s="99"/>
      <c r="R228" s="74"/>
    </row>
    <row r="229" spans="12:18" ht="15.75" customHeight="1" x14ac:dyDescent="0.25">
      <c r="L229" s="99"/>
      <c r="R229" s="74"/>
    </row>
    <row r="230" spans="12:18" ht="15.75" customHeight="1" x14ac:dyDescent="0.25">
      <c r="L230" s="99"/>
      <c r="R230" s="74"/>
    </row>
    <row r="231" spans="12:18" ht="15.75" customHeight="1" x14ac:dyDescent="0.25">
      <c r="L231" s="99"/>
      <c r="R231" s="74"/>
    </row>
    <row r="232" spans="12:18" ht="15.75" customHeight="1" x14ac:dyDescent="0.25">
      <c r="L232" s="99"/>
      <c r="R232" s="74"/>
    </row>
    <row r="233" spans="12:18" ht="15.75" customHeight="1" x14ac:dyDescent="0.25">
      <c r="L233" s="99"/>
      <c r="R233" s="74"/>
    </row>
    <row r="234" spans="12:18" ht="15.75" customHeight="1" x14ac:dyDescent="0.25">
      <c r="L234" s="99"/>
      <c r="R234" s="74"/>
    </row>
    <row r="235" spans="12:18" ht="15.75" customHeight="1" x14ac:dyDescent="0.25">
      <c r="L235" s="99"/>
      <c r="R235" s="74"/>
    </row>
    <row r="236" spans="12:18" ht="15.75" customHeight="1" x14ac:dyDescent="0.25">
      <c r="L236" s="99"/>
      <c r="R236" s="74"/>
    </row>
    <row r="237" spans="12:18" ht="15.75" customHeight="1" x14ac:dyDescent="0.25">
      <c r="L237" s="99"/>
      <c r="R237" s="74"/>
    </row>
    <row r="238" spans="12:18" ht="15.75" customHeight="1" x14ac:dyDescent="0.25">
      <c r="L238" s="99"/>
      <c r="R238" s="74"/>
    </row>
    <row r="239" spans="12:18" ht="15.75" customHeight="1" x14ac:dyDescent="0.25">
      <c r="L239" s="99"/>
      <c r="R239" s="74"/>
    </row>
    <row r="240" spans="12:18" ht="15.75" customHeight="1" x14ac:dyDescent="0.25">
      <c r="L240" s="99"/>
      <c r="R240" s="74"/>
    </row>
    <row r="241" spans="12:18" ht="15.75" customHeight="1" x14ac:dyDescent="0.25">
      <c r="L241" s="99"/>
      <c r="R241" s="74"/>
    </row>
    <row r="242" spans="12:18" ht="15.75" customHeight="1" x14ac:dyDescent="0.25">
      <c r="L242" s="99"/>
      <c r="R242" s="74"/>
    </row>
    <row r="243" spans="12:18" ht="15.75" customHeight="1" x14ac:dyDescent="0.25">
      <c r="L243" s="99"/>
      <c r="R243" s="74"/>
    </row>
    <row r="244" spans="12:18" ht="15.75" customHeight="1" x14ac:dyDescent="0.25">
      <c r="L244" s="99"/>
      <c r="R244" s="74"/>
    </row>
    <row r="245" spans="12:18" ht="15.75" customHeight="1" x14ac:dyDescent="0.25">
      <c r="L245" s="99"/>
      <c r="R245" s="74"/>
    </row>
    <row r="246" spans="12:18" ht="15.75" customHeight="1" x14ac:dyDescent="0.25">
      <c r="L246" s="99"/>
      <c r="R246" s="74"/>
    </row>
    <row r="247" spans="12:18" ht="15.75" customHeight="1" x14ac:dyDescent="0.25">
      <c r="L247" s="99"/>
      <c r="R247" s="74"/>
    </row>
    <row r="248" spans="12:18" ht="15.75" customHeight="1" x14ac:dyDescent="0.25">
      <c r="L248" s="99"/>
      <c r="R248" s="74"/>
    </row>
    <row r="249" spans="12:18" ht="15.75" customHeight="1" x14ac:dyDescent="0.25">
      <c r="L249" s="99"/>
      <c r="R249" s="74"/>
    </row>
    <row r="250" spans="12:18" ht="15.75" customHeight="1" x14ac:dyDescent="0.25">
      <c r="L250" s="99"/>
      <c r="R250" s="74"/>
    </row>
    <row r="251" spans="12:18" ht="15.75" customHeight="1" x14ac:dyDescent="0.25">
      <c r="L251" s="99"/>
      <c r="R251" s="74"/>
    </row>
    <row r="252" spans="12:18" ht="15.75" customHeight="1" x14ac:dyDescent="0.25">
      <c r="L252" s="99"/>
      <c r="R252" s="74"/>
    </row>
    <row r="253" spans="12:18" ht="15.75" customHeight="1" x14ac:dyDescent="0.25">
      <c r="L253" s="99"/>
      <c r="R253" s="74"/>
    </row>
    <row r="254" spans="12:18" ht="15.75" customHeight="1" x14ac:dyDescent="0.25">
      <c r="L254" s="99"/>
      <c r="R254" s="74"/>
    </row>
    <row r="255" spans="12:18" ht="15.75" customHeight="1" x14ac:dyDescent="0.25">
      <c r="L255" s="99"/>
      <c r="R255" s="74"/>
    </row>
    <row r="256" spans="12:18" ht="15.75" customHeight="1" x14ac:dyDescent="0.25">
      <c r="L256" s="99"/>
      <c r="R256" s="74"/>
    </row>
    <row r="257" spans="12:18" ht="15.75" customHeight="1" x14ac:dyDescent="0.25">
      <c r="L257" s="99"/>
      <c r="R257" s="74"/>
    </row>
    <row r="258" spans="12:18" ht="15.75" customHeight="1" x14ac:dyDescent="0.25">
      <c r="L258" s="99"/>
      <c r="R258" s="74"/>
    </row>
    <row r="259" spans="12:18" ht="15.75" customHeight="1" x14ac:dyDescent="0.25">
      <c r="L259" s="99"/>
      <c r="R259" s="74"/>
    </row>
    <row r="260" spans="12:18" ht="15.75" customHeight="1" x14ac:dyDescent="0.2"/>
    <row r="261" spans="12:18" ht="15.75" customHeight="1" x14ac:dyDescent="0.2"/>
    <row r="262" spans="12:18" ht="15.75" customHeight="1" x14ac:dyDescent="0.2"/>
    <row r="263" spans="12:18" ht="15.75" customHeight="1" x14ac:dyDescent="0.2"/>
    <row r="264" spans="12:18" ht="15.75" customHeight="1" x14ac:dyDescent="0.2"/>
    <row r="265" spans="12:18" ht="15.75" customHeight="1" x14ac:dyDescent="0.2"/>
    <row r="266" spans="12:18" ht="15.75" customHeight="1" x14ac:dyDescent="0.2"/>
    <row r="267" spans="12:18" ht="15.75" customHeight="1" x14ac:dyDescent="0.2"/>
    <row r="268" spans="12:18" ht="15.75" customHeight="1" x14ac:dyDescent="0.2"/>
    <row r="269" spans="12:18" ht="15.75" customHeight="1" x14ac:dyDescent="0.2"/>
    <row r="270" spans="12:18" ht="15.75" customHeight="1" x14ac:dyDescent="0.2"/>
    <row r="271" spans="12:18" ht="15.75" customHeight="1" x14ac:dyDescent="0.2"/>
    <row r="272" spans="12:1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B2:M2"/>
    <mergeCell ref="B3:M3"/>
    <mergeCell ref="B4:M4"/>
    <mergeCell ref="B6:H6"/>
    <mergeCell ref="B7:B8"/>
    <mergeCell ref="C7:C8"/>
    <mergeCell ref="H7:H8"/>
    <mergeCell ref="I6:O6"/>
    <mergeCell ref="K7:L7"/>
    <mergeCell ref="M7:M8"/>
    <mergeCell ref="N7:N8"/>
    <mergeCell ref="O7:O8"/>
    <mergeCell ref="D7:D8"/>
    <mergeCell ref="E7:E8"/>
    <mergeCell ref="B58:B59"/>
    <mergeCell ref="C58:G58"/>
    <mergeCell ref="C59:G59"/>
    <mergeCell ref="F7:F8"/>
    <mergeCell ref="G7:G8"/>
  </mergeCells>
  <dataValidations count="4">
    <dataValidation type="list" allowBlank="1" showErrorMessage="1" sqref="J9:J56">
      <formula1>$R$47:$R$56</formula1>
    </dataValidation>
    <dataValidation type="list" allowBlank="1" showErrorMessage="1" sqref="E9:E56">
      <formula1>$R$43:$R$44</formula1>
    </dataValidation>
    <dataValidation type="list" allowBlank="1" showErrorMessage="1" sqref="B9:B56">
      <formula1>$R$9:$R$10</formula1>
    </dataValidation>
    <dataValidation type="list" allowBlank="1" showErrorMessage="1" sqref="C9:C56">
      <formula1>$R$14:$R$40</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 1_Liquidación</vt:lpstr>
      <vt:lpstr>2_Morosidad</vt:lpstr>
      <vt:lpstr>3_Detalle de origen y aplicació</vt:lpstr>
      <vt:lpstr>4_OyA Transferencias Gob Cent</vt:lpstr>
      <vt:lpstr>Ejemplo Detalle de origen y apl</vt:lpstr>
      <vt:lpstr>Ejemplo OyA Transferencias Gob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 DE LA REPU</dc:creator>
  <cp:lastModifiedBy>Natalia Jimenez Ruiz</cp:lastModifiedBy>
  <cp:lastPrinted>2022-02-09T19:43:09Z</cp:lastPrinted>
  <dcterms:created xsi:type="dcterms:W3CDTF">1999-01-08T03:50:12Z</dcterms:created>
  <dcterms:modified xsi:type="dcterms:W3CDTF">2022-07-11T14:45:03Z</dcterms:modified>
</cp:coreProperties>
</file>